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70" windowWidth="18855" windowHeight="7620" tabRatio="751"/>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DATA_FORMS" sheetId="11" state="hidden" r:id="rId10"/>
    <sheet name="DATA_NPA" sheetId="12" state="hidden" r:id="rId11"/>
    <sheet name="TEHSHEET" sheetId="13" state="hidden" r:id="rId12"/>
    <sheet name="et_union_hor" sheetId="14" state="hidden" r:id="rId13"/>
    <sheet name="Договоры" sheetId="15" state="hidden" r:id="rId14"/>
    <sheet name="ТС. Т-ТЭ | &gt;=25МВт" sheetId="16" state="hidden" r:id="rId15"/>
    <sheet name="ТС. Т-ТЭ | ТСО" sheetId="17" state="hidden" r:id="rId16"/>
    <sheet name="ТС. Резерв мощности" sheetId="18" state="hidden" r:id="rId17"/>
    <sheet name="ТС. Т-ТН" sheetId="19" state="hidden" r:id="rId18"/>
    <sheet name="ТС. Т-передача ТЭ" sheetId="20" state="hidden" r:id="rId19"/>
    <sheet name="ТС. Т-передача ТН" sheetId="21" state="hidden" r:id="rId20"/>
    <sheet name="ТС. Т-гор.вода" sheetId="22" state="hidden" r:id="rId21"/>
    <sheet name="ТС. Т-подкл" sheetId="23" state="hidden" r:id="rId22"/>
    <sheet name="Т-ТЭ | потр" sheetId="24" state="hidden" r:id="rId23"/>
    <sheet name="Т-ТЭ | предел" sheetId="25" state="hidden" r:id="rId24"/>
    <sheet name="Т-ТЭ | индикат" sheetId="26" state="hidden" r:id="rId25"/>
    <sheet name="Т-подкл(инд)" sheetId="27" state="hidden" r:id="rId26"/>
    <sheet name="Порядок ТП" sheetId="28" state="hidden" r:id="rId27"/>
    <sheet name="Сведения о закупках" sheetId="29" state="hidden" r:id="rId28"/>
    <sheet name="modMainProcedures" sheetId="30" state="hidden" r:id="rId29"/>
    <sheet name="Потребительские характеристики" sheetId="31" state="hidden" r:id="rId30"/>
    <sheet name="ТП" sheetId="32" state="hidden" r:id="rId31"/>
    <sheet name="Ограничения" sheetId="33" state="hidden" r:id="rId32"/>
    <sheet name="Предложение" sheetId="34" state="hidden" r:id="rId33"/>
    <sheet name="ХВС. Т-пит" sheetId="35" state="hidden" r:id="rId34"/>
    <sheet name="ХВС. Т-тех" sheetId="36" state="hidden" r:id="rId35"/>
    <sheet name="ХВС. Т-транс" sheetId="37" state="hidden" r:id="rId36"/>
    <sheet name="ХВС. Т-подвоз" sheetId="38" state="hidden" r:id="rId37"/>
    <sheet name="ХВС. Т-подкл" sheetId="39" state="hidden" r:id="rId38"/>
    <sheet name="Показатели ФХД" sheetId="40" r:id="rId39"/>
    <sheet name="Показатели ФХД &gt;20%" sheetId="41" state="hidden" r:id="rId40"/>
    <sheet name="ТКО. Показатели ФХД" sheetId="42" state="hidden" r:id="rId41"/>
    <sheet name="ТКО. Транс. Показатели ФХД" sheetId="43" state="hidden" r:id="rId42"/>
    <sheet name="Показатели КНЭ" sheetId="44" r:id="rId43"/>
    <sheet name="ИП" sheetId="45" r:id="rId44"/>
    <sheet name="ИП. Детализация" sheetId="46" r:id="rId45"/>
    <sheet name="ИП. Финансовый план" sheetId="47" state="hidden" r:id="rId46"/>
    <sheet name="ИП. КНЭ" sheetId="48" r:id="rId47"/>
    <sheet name="ГВС. Т-гор.вода" sheetId="49" state="hidden" r:id="rId48"/>
    <sheet name="ГВС. Т-транс" sheetId="50" state="hidden" r:id="rId49"/>
    <sheet name="ГВС. Т-подкл" sheetId="51" state="hidden" r:id="rId50"/>
    <sheet name="ВО. Т-во" sheetId="52" state="hidden" r:id="rId51"/>
    <sheet name="ВО. Т-транс" sheetId="53" state="hidden" r:id="rId52"/>
    <sheet name="ВО. Т-подкл" sheetId="54" state="hidden" r:id="rId53"/>
    <sheet name="modB_FHD" sheetId="55" state="hidden" r:id="rId54"/>
    <sheet name="modB_FHD20" sheetId="56" state="hidden" r:id="rId55"/>
    <sheet name="modB_KNE" sheetId="57" state="hidden" r:id="rId56"/>
    <sheet name="modIP_MAIN" sheetId="58" state="hidden" r:id="rId57"/>
    <sheet name="modIP_QRE" sheetId="59" state="hidden" r:id="rId58"/>
    <sheet name="modIP_DETAILED" sheetId="60" state="hidden" r:id="rId59"/>
    <sheet name="ЭД" sheetId="61" state="hidden" r:id="rId60"/>
    <sheet name="Сведения об изменении" sheetId="62" state="hidden" r:id="rId61"/>
    <sheet name="Орган регулирования" sheetId="63" state="hidden" r:id="rId62"/>
    <sheet name="Перечень организаций" sheetId="64" state="hidden" r:id="rId63"/>
    <sheet name="Дела об установлении тарифов" sheetId="65" state="hidden" r:id="rId64"/>
    <sheet name="Привлечение к ответственности" sheetId="66" state="hidden" r:id="rId65"/>
    <sheet name="Комментарии" sheetId="67" r:id="rId66"/>
    <sheet name="Проверка" sheetId="68" state="hidden" r:id="rId67"/>
    <sheet name="et_union_vert" sheetId="69" state="hidden" r:id="rId68"/>
    <sheet name="Легенда" sheetId="70" state="hidden" r:id="rId69"/>
    <sheet name="modfrmListIP" sheetId="71" state="hidden" r:id="rId70"/>
    <sheet name="modfrmActivity" sheetId="72" state="hidden" r:id="rId71"/>
    <sheet name="REESTR_ORG" sheetId="73" state="hidden" r:id="rId72"/>
    <sheet name="REESTR_MO" sheetId="74" state="hidden" r:id="rId73"/>
    <sheet name="REESTR_IP" sheetId="75" state="hidden" r:id="rId74"/>
    <sheet name="REESTR_OBJ_INFR" sheetId="76" state="hidden" r:id="rId75"/>
    <sheet name="REESTR_DS" sheetId="77" state="hidden" r:id="rId76"/>
    <sheet name="REESTR_VT" sheetId="78" state="hidden" r:id="rId77"/>
    <sheet name="REESTR_VED" sheetId="79" state="hidden" r:id="rId78"/>
    <sheet name="REESTR_MO_FILTER" sheetId="80" state="hidden" r:id="rId79"/>
    <sheet name="REESTR_LINK" sheetId="81" state="hidden" r:id="rId80"/>
    <sheet name="modSheetMain" sheetId="82" state="hidden" r:id="rId81"/>
    <sheet name="modfrmReportMode" sheetId="83" state="hidden" r:id="rId82"/>
    <sheet name="modfrmReestrObj" sheetId="84" state="hidden" r:id="rId83"/>
    <sheet name="AllSheetsInThisWorkbook" sheetId="85" state="hidden" r:id="rId84"/>
    <sheet name="modInfo" sheetId="86" state="hidden" r:id="rId85"/>
  </sheets>
  <definedNames>
    <definedName name="_xlnm._FilterDatabase" localSheetId="66">Проверка!$B$4:$E$5</definedName>
    <definedName name="anscount">1</definedName>
    <definedName name="B_FHD_CHECK_INDEX_1">'Показатели ФХД'!$AR$108</definedName>
    <definedName name="B_FHD_CHECK_INDEX_2">'Показатели ФХД'!$AR$110</definedName>
    <definedName name="B_FHD_COSTS_INDEX_1">'Показатели ФХД'!$H$107:$AP$107</definedName>
    <definedName name="B_FHD_COSTS_INDEX_2">'Показатели ФХД'!$H$109:$AP$109</definedName>
    <definedName name="B_FHD_DATA_TOP80_ACTIVITY">'Показатели ФХД'!$H$136:$AP$136</definedName>
    <definedName name="B_FHD_diff_1">'Показатели ФХД'!$I$25:$I$27</definedName>
    <definedName name="B_FHD_diff_66">'Показатели ФХД'!$J$25:$J$27</definedName>
    <definedName name="B_FHD_diff_67">'Показатели ФХД'!$K$25:$K$27</definedName>
    <definedName name="B_FHD_diff_68">'Показатели ФХД'!$L$25:$L$27</definedName>
    <definedName name="B_FHD_diff_69">'Показатели ФХД'!$M$25:$M$27</definedName>
    <definedName name="B_FHD_diff_70">'Показатели ФХД'!$N$25:$N$27</definedName>
    <definedName name="B_FHD_diff_71">'Показатели ФХД'!$O$25:$O$27</definedName>
    <definedName name="B_FHD_diff_72">'Показатели ФХД'!$P$25:$P$27</definedName>
    <definedName name="B_FHD_diff_73">'Показатели ФХД'!$Q$25:$Q$27</definedName>
    <definedName name="B_FHD_diff_74">'Показатели ФХД'!$R$25:$R$27</definedName>
    <definedName name="B_FHD_diff_75">'Показатели ФХД'!$S$25:$S$27</definedName>
    <definedName name="B_FHD_diff_76">'Показатели ФХД'!$T$25:$T$27</definedName>
    <definedName name="B_FHD_diff_77">'Показатели ФХД'!$U$25:$U$27</definedName>
    <definedName name="B_FHD_diff_78">'Показатели ФХД'!$V$25:$V$27</definedName>
    <definedName name="B_FHD_diff_79">'Показатели ФХД'!$W$25:$W$27</definedName>
    <definedName name="B_FHD_diff_80">'Показатели ФХД'!$X$25:$X$27</definedName>
    <definedName name="B_FHD_diff_81">'Показатели ФХД'!$Y$25:$Y$27</definedName>
    <definedName name="B_FHD_diff_82">'Показатели ФХД'!$Z$25:$Z$27</definedName>
    <definedName name="B_FHD_diff_83">'Показатели ФХД'!$AA$25:$AA$27</definedName>
    <definedName name="B_FHD_diff_84">'Показатели ФХД'!$AB$25:$AB$27</definedName>
    <definedName name="B_FHD_diff_85">'Показатели ФХД'!$AC$25:$AC$27</definedName>
    <definedName name="B_FHD_diff_86">'Показатели ФХД'!$AD$25:$AD$27</definedName>
    <definedName name="B_FHD_diff_87">'Показатели ФХД'!$AE$25:$AE$27</definedName>
    <definedName name="B_FHD_diff_88">'Показатели ФХД'!$AF$25:$AF$27</definedName>
    <definedName name="B_FHD_diff_89">'Показатели ФХД'!$AG$25:$AG$27</definedName>
    <definedName name="B_FHD_diff_90">'Показатели ФХД'!$AH$25:$AH$27</definedName>
    <definedName name="B_FHD_diff_91">'Показатели ФХД'!$AI$25:$AI$27</definedName>
    <definedName name="B_FHD_diff_92">'Показатели ФХД'!$AJ$25:$AJ$27</definedName>
    <definedName name="B_FHD_diff_93">'Показатели ФХД'!$AK$25:$AK$27</definedName>
    <definedName name="B_FHD_diff_94">'Показатели ФХД'!$AL$25:$AL$27</definedName>
    <definedName name="B_FHD_diff_95">'Показатели ФХД'!$AM$25:$AM$27</definedName>
    <definedName name="B_FHD_diff_96">'Показатели ФХД'!$AN$25:$AN$27</definedName>
    <definedName name="B_FHD_diff_97">'Показатели ФХД'!$AO$25:$AO$27</definedName>
    <definedName name="B_FHD_FLAG_DIFFERENTIATION">'Показатели ФХД'!$H$24:$AP$24</definedName>
    <definedName name="B_FHD_FLAG_INDEX_1">'Показатели ФХД'!$H$108:$AP$108</definedName>
    <definedName name="B_FHD_FLAG_INDEX_2">'Показатели ФХД'!$H$110:$AP$110</definedName>
    <definedName name="B_FHD_TKO_DATA_TOP80_ACTIVITY">'ТКО. Показатели ФХД'!$H$43:$AP$43</definedName>
    <definedName name="B_FHD_TKO_diff_1">'ТКО. Показатели ФХД'!$I$10:$I$12</definedName>
    <definedName name="B_FHD_TKO_diff_66">'ТКО. Показатели ФХД'!$J$10:$J$12</definedName>
    <definedName name="B_FHD_TKO_diff_67">'ТКО. Показатели ФХД'!$K$10:$K$12</definedName>
    <definedName name="B_FHD_TKO_diff_68">'ТКО. Показатели ФХД'!$L$10:$L$12</definedName>
    <definedName name="B_FHD_TKO_diff_69">'ТКО. Показатели ФХД'!$M$10:$M$12</definedName>
    <definedName name="B_FHD_TKO_diff_70">'ТКО. Показатели ФХД'!$N$10:$N$12</definedName>
    <definedName name="B_FHD_TKO_diff_71">'ТКО. Показатели ФХД'!$O$10:$O$12</definedName>
    <definedName name="B_FHD_TKO_diff_72">'ТКО. Показатели ФХД'!$P$10:$P$12</definedName>
    <definedName name="B_FHD_TKO_diff_73">'ТКО. Показатели ФХД'!$Q$10:$Q$12</definedName>
    <definedName name="B_FHD_TKO_diff_74">'ТКО. Показатели ФХД'!$R$10:$R$12</definedName>
    <definedName name="B_FHD_TKO_diff_75">'ТКО. Показатели ФХД'!$S$10:$S$12</definedName>
    <definedName name="B_FHD_TKO_diff_76">'ТКО. Показатели ФХД'!$T$10:$T$12</definedName>
    <definedName name="B_FHD_TKO_diff_77">'ТКО. Показатели ФХД'!$U$10:$U$12</definedName>
    <definedName name="B_FHD_TKO_diff_78">'ТКО. Показатели ФХД'!$V$10:$V$12</definedName>
    <definedName name="B_FHD_TKO_diff_79">'ТКО. Показатели ФХД'!$W$10:$W$12</definedName>
    <definedName name="B_FHD_TKO_diff_80">'ТКО. Показатели ФХД'!$X$10:$X$12</definedName>
    <definedName name="B_FHD_TKO_diff_81">'ТКО. Показатели ФХД'!$Y$10:$Y$12</definedName>
    <definedName name="B_FHD_TKO_diff_82">'ТКО. Показатели ФХД'!$Z$10:$Z$12</definedName>
    <definedName name="B_FHD_TKO_diff_83">'ТКО. Показатели ФХД'!$AA$10:$AA$12</definedName>
    <definedName name="B_FHD_TKO_diff_84">'ТКО. Показатели ФХД'!$AB$10:$AB$12</definedName>
    <definedName name="B_FHD_TKO_diff_85">'ТКО. Показатели ФХД'!$AC$10:$AC$12</definedName>
    <definedName name="B_FHD_TKO_diff_86">'ТКО. Показатели ФХД'!$AD$10:$AD$12</definedName>
    <definedName name="B_FHD_TKO_diff_87">'ТКО. Показатели ФХД'!$AE$10:$AE$12</definedName>
    <definedName name="B_FHD_TKO_diff_88">'ТКО. Показатели ФХД'!$AF$10:$AF$12</definedName>
    <definedName name="B_FHD_TKO_diff_89">'ТКО. Показатели ФХД'!$AG$10:$AG$12</definedName>
    <definedName name="B_FHD_TKO_diff_90">'ТКО. Показатели ФХД'!$AH$10:$AH$12</definedName>
    <definedName name="B_FHD_TKO_diff_91">'ТКО. Показатели ФХД'!$AI$10:$AI$12</definedName>
    <definedName name="B_FHD_TKO_diff_92">'ТКО. Показатели ФХД'!$AJ$10:$AJ$12</definedName>
    <definedName name="B_FHD_TKO_diff_93">'ТКО. Показатели ФХД'!$AK$10:$AK$12</definedName>
    <definedName name="B_FHD_TKO_diff_94">'ТКО. Показатели ФХД'!$AL$10:$AL$12</definedName>
    <definedName name="B_FHD_TKO_diff_95">'ТКО. Показатели ФХД'!$AM$10:$AM$12</definedName>
    <definedName name="B_FHD_TKO_diff_96">'ТКО. Показатели ФХД'!$AN$10:$AN$12</definedName>
    <definedName name="B_FHD_TKO_diff_97">'ТКО. Показатели ФХД'!$AO$10:$AO$12</definedName>
    <definedName name="B_FHD_TKO_FLAG_DIFFERENTIATION">'ТКО. Показатели ФХД'!$H$9:$AP$9</definedName>
    <definedName name="B_FHD_TKO_TRANS_DATA_TOP80_ACTIVITY">'ТКО. Транс. Показатели ФХД'!$H$35:$AP$35</definedName>
    <definedName name="B_FHD_TKO_TRANS_diff_1">'ТКО. Транс. Показатели ФХД'!$I$10:$I$12</definedName>
    <definedName name="B_FHD_TKO_TRANS_diff_66">'ТКО. Транс. Показатели ФХД'!$J$10:$J$12</definedName>
    <definedName name="B_FHD_TKO_TRANS_diff_67">'ТКО. Транс. Показатели ФХД'!$K$10:$K$12</definedName>
    <definedName name="B_FHD_TKO_TRANS_diff_68">'ТКО. Транс. Показатели ФХД'!$L$10:$L$12</definedName>
    <definedName name="B_FHD_TKO_TRANS_diff_69">'ТКО. Транс. Показатели ФХД'!$M$10:$M$12</definedName>
    <definedName name="B_FHD_TKO_TRANS_diff_70">'ТКО. Транс. Показатели ФХД'!$N$10:$N$12</definedName>
    <definedName name="B_FHD_TKO_TRANS_diff_71">'ТКО. Транс. Показатели ФХД'!$O$10:$O$12</definedName>
    <definedName name="B_FHD_TKO_TRANS_diff_72">'ТКО. Транс. Показатели ФХД'!$P$10:$P$12</definedName>
    <definedName name="B_FHD_TKO_TRANS_diff_73">'ТКО. Транс. Показатели ФХД'!$Q$10:$Q$12</definedName>
    <definedName name="B_FHD_TKO_TRANS_diff_74">'ТКО. Транс. Показатели ФХД'!$R$10:$R$12</definedName>
    <definedName name="B_FHD_TKO_TRANS_diff_75">'ТКО. Транс. Показатели ФХД'!$S$10:$S$12</definedName>
    <definedName name="B_FHD_TKO_TRANS_diff_76">'ТКО. Транс. Показатели ФХД'!$T$10:$T$12</definedName>
    <definedName name="B_FHD_TKO_TRANS_diff_77">'ТКО. Транс. Показатели ФХД'!$U$10:$U$12</definedName>
    <definedName name="B_FHD_TKO_TRANS_diff_78">'ТКО. Транс. Показатели ФХД'!$V$10:$V$12</definedName>
    <definedName name="B_FHD_TKO_TRANS_diff_79">'ТКО. Транс. Показатели ФХД'!$W$10:$W$12</definedName>
    <definedName name="B_FHD_TKO_TRANS_diff_80">'ТКО. Транс. Показатели ФХД'!$X$10:$X$12</definedName>
    <definedName name="B_FHD_TKO_TRANS_diff_81">'ТКО. Транс. Показатели ФХД'!$Y$10:$Y$12</definedName>
    <definedName name="B_FHD_TKO_TRANS_diff_82">'ТКО. Транс. Показатели ФХД'!$Z$10:$Z$12</definedName>
    <definedName name="B_FHD_TKO_TRANS_diff_83">'ТКО. Транс. Показатели ФХД'!$AA$10:$AA$12</definedName>
    <definedName name="B_FHD_TKO_TRANS_diff_84">'ТКО. Транс. Показатели ФХД'!$AB$10:$AB$12</definedName>
    <definedName name="B_FHD_TKO_TRANS_diff_85">'ТКО. Транс. Показатели ФХД'!$AC$10:$AC$12</definedName>
    <definedName name="B_FHD_TKO_TRANS_diff_86">'ТКО. Транс. Показатели ФХД'!$AD$10:$AD$12</definedName>
    <definedName name="B_FHD_TKO_TRANS_diff_87">'ТКО. Транс. Показатели ФХД'!$AE$10:$AE$12</definedName>
    <definedName name="B_FHD_TKO_TRANS_diff_88">'ТКО. Транс. Показатели ФХД'!$AF$10:$AF$12</definedName>
    <definedName name="B_FHD_TKO_TRANS_diff_89">'ТКО. Транс. Показатели ФХД'!$AG$10:$AG$12</definedName>
    <definedName name="B_FHD_TKO_TRANS_diff_90">'ТКО. Транс. Показатели ФХД'!$AH$10:$AH$12</definedName>
    <definedName name="B_FHD_TKO_TRANS_diff_91">'ТКО. Транс. Показатели ФХД'!$AI$10:$AI$12</definedName>
    <definedName name="B_FHD_TKO_TRANS_diff_92">'ТКО. Транс. Показатели ФХД'!$AJ$10:$AJ$12</definedName>
    <definedName name="B_FHD_TKO_TRANS_diff_93">'ТКО. Транс. Показатели ФХД'!$AK$10:$AK$12</definedName>
    <definedName name="B_FHD_TKO_TRANS_diff_94">'ТКО. Транс. Показатели ФХД'!$AL$10:$AL$12</definedName>
    <definedName name="B_FHD_TKO_TRANS_diff_95">'ТКО. Транс. Показатели ФХД'!$AM$10:$AM$12</definedName>
    <definedName name="B_FHD_TKO_TRANS_diff_96">'ТКО. Транс. Показатели ФХД'!$AN$10:$AN$12</definedName>
    <definedName name="B_FHD_TKO_TRANS_diff_97">'ТКО. Транс. Показатели ФХД'!$AO$10:$AO$12</definedName>
    <definedName name="B_FHD_TKO_TRANS_FLAG_DIFFERENTIATION">'ТКО. Транс. Показатели ФХД'!$H$9:$AP$9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&gt;20%'!$D$13:$S$311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diff_67">'Показатели ФХД &gt;20%'!$H$32:$R$34</definedName>
    <definedName name="B_FHD20_diff_68">'Показатели ФХД &gt;20%'!$H$41:$R$43</definedName>
    <definedName name="B_FHD20_diff_69">'Показатели ФХД &gt;20%'!$H$50:$R$52</definedName>
    <definedName name="B_FHD20_diff_70">'Показатели ФХД &gt;20%'!$H$59:$R$61</definedName>
    <definedName name="B_FHD20_diff_71">'Показатели ФХД &gt;20%'!$H$68:$R$70</definedName>
    <definedName name="B_FHD20_diff_72">'Показатели ФХД &gt;20%'!$H$77:$R$79</definedName>
    <definedName name="B_FHD20_diff_73">'Показатели ФХД &gt;20%'!$H$86:$R$88</definedName>
    <definedName name="B_FHD20_diff_74">'Показатели ФХД &gt;20%'!$H$95:$R$97</definedName>
    <definedName name="B_FHD20_diff_75">'Показатели ФХД &gt;20%'!$H$104:$R$106</definedName>
    <definedName name="B_FHD20_diff_76">'Показатели ФХД &gt;20%'!$H$113:$R$115</definedName>
    <definedName name="B_FHD20_diff_77">'Показатели ФХД &gt;20%'!$H$122:$R$124</definedName>
    <definedName name="B_FHD20_diff_78">'Показатели ФХД &gt;20%'!$H$131:$R$133</definedName>
    <definedName name="B_FHD20_diff_79">'Показатели ФХД &gt;20%'!$H$140:$R$142</definedName>
    <definedName name="B_FHD20_diff_80">'Показатели ФХД &gt;20%'!$H$149:$R$151</definedName>
    <definedName name="B_FHD20_diff_81">'Показатели ФХД &gt;20%'!$H$158:$R$160</definedName>
    <definedName name="B_FHD20_diff_82">'Показатели ФХД &gt;20%'!$H$167:$R$169</definedName>
    <definedName name="B_FHD20_diff_83">'Показатели ФХД &gt;20%'!$H$176:$R$178</definedName>
    <definedName name="B_FHD20_diff_84">'Показатели ФХД &gt;20%'!$H$185:$R$187</definedName>
    <definedName name="B_FHD20_diff_85">'Показатели ФХД &gt;20%'!$H$194:$R$196</definedName>
    <definedName name="B_FHD20_diff_86">'Показатели ФХД &gt;20%'!$H$203:$R$205</definedName>
    <definedName name="B_FHD20_diff_87">'Показатели ФХД &gt;20%'!$H$212:$R$214</definedName>
    <definedName name="B_FHD20_diff_88">'Показатели ФХД &gt;20%'!$H$221:$R$223</definedName>
    <definedName name="B_FHD20_diff_89">'Показатели ФХД &gt;20%'!$H$230:$R$232</definedName>
    <definedName name="B_FHD20_diff_90">'Показатели ФХД &gt;20%'!$H$239:$R$241</definedName>
    <definedName name="B_FHD20_diff_91">'Показатели ФХД &gt;20%'!$H$248:$R$250</definedName>
    <definedName name="B_FHD20_diff_92">'Показатели ФХД &gt;20%'!$H$257:$R$259</definedName>
    <definedName name="B_FHD20_diff_93">'Показатели ФХД &gt;20%'!$H$266:$R$268</definedName>
    <definedName name="B_FHD20_diff_94">'Показатели ФХД &gt;20%'!$H$275:$R$277</definedName>
    <definedName name="B_FHD20_diff_95">'Показатели ФХД &gt;20%'!$H$284:$R$286</definedName>
    <definedName name="B_FHD20_diff_96">'Показатели ФХД &gt;20%'!$H$293:$R$295</definedName>
    <definedName name="B_FHD20_diff_97">'Показатели ФХД &gt;20%'!$H$302:$R$304</definedName>
    <definedName name="B_FHD20_FLAG_FHD">'Показатели ФХД &gt;20%'!$V$11:$V$311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_KNE_diff_67">'Показатели КНЭ'!$M$7:$N$9</definedName>
    <definedName name="B_KNE_diff_68">'Показатели КНЭ'!$O$7:$P$9</definedName>
    <definedName name="B_KNE_diff_69">'Показатели КНЭ'!$Q$7:$R$9</definedName>
    <definedName name="B_KNE_diff_70">'Показатели КНЭ'!$S$7:$T$9</definedName>
    <definedName name="B_KNE_diff_71">'Показатели КНЭ'!$U$7:$V$9</definedName>
    <definedName name="B_KNE_diff_72">'Показатели КНЭ'!$W$7:$X$9</definedName>
    <definedName name="B_KNE_diff_73">'Показатели КНЭ'!$Y$7:$Z$9</definedName>
    <definedName name="B_KNE_diff_74">'Показатели КНЭ'!$AA$7:$AB$9</definedName>
    <definedName name="B_KNE_diff_75">'Показатели КНЭ'!$AC$7:$AD$9</definedName>
    <definedName name="B_KNE_diff_76">'Показатели КНЭ'!$AE$7:$AF$9</definedName>
    <definedName name="B_KNE_diff_77">'Показатели КНЭ'!$AG$7:$AH$9</definedName>
    <definedName name="B_KNE_diff_78">'Показатели КНЭ'!$AI$7:$AJ$9</definedName>
    <definedName name="B_KNE_diff_79">'Показатели КНЭ'!$AK$7:$AL$9</definedName>
    <definedName name="B_KNE_diff_80">'Показатели КНЭ'!$AM$7:$AN$9</definedName>
    <definedName name="B_KNE_diff_81">'Показатели КНЭ'!$AO$7:$AP$9</definedName>
    <definedName name="B_KNE_diff_82">'Показатели КНЭ'!$AQ$7:$AR$9</definedName>
    <definedName name="B_KNE_diff_83">'Показатели КНЭ'!$AS$7:$AT$9</definedName>
    <definedName name="B_KNE_diff_84">'Показатели КНЭ'!$AU$7:$AV$9</definedName>
    <definedName name="B_KNE_diff_85">'Показатели КНЭ'!$AW$7:$AX$9</definedName>
    <definedName name="B_KNE_diff_86">'Показатели КНЭ'!$AY$7:$AZ$9</definedName>
    <definedName name="B_KNE_diff_87">'Показатели КНЭ'!$BA$7:$BB$9</definedName>
    <definedName name="B_KNE_diff_88">'Показатели КНЭ'!$BC$7:$BD$9</definedName>
    <definedName name="B_KNE_diff_89">'Показатели КНЭ'!$BE$7:$BF$9</definedName>
    <definedName name="B_KNE_diff_90">'Показатели КНЭ'!$BG$7:$BH$9</definedName>
    <definedName name="B_KNE_diff_91">'Показатели КНЭ'!$BI$7:$BJ$9</definedName>
    <definedName name="B_KNE_diff_92">'Показатели КНЭ'!$BK$7:$BL$9</definedName>
    <definedName name="B_KNE_diff_93">'Показатели КНЭ'!$BM$7:$BN$9</definedName>
    <definedName name="B_KNE_diff_94">'Показатели КНЭ'!$BO$7:$BP$9</definedName>
    <definedName name="B_KNE_diff_95">'Показатели КНЭ'!$BQ$7:$BR$9</definedName>
    <definedName name="B_KNE_diff_96">'Показатели КНЭ'!$BS$7:$BT$9</definedName>
    <definedName name="B_KNE_diff_97">'Показатели КНЭ'!$BU$7:$BV$9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ФХД'!$137:$145</definedName>
    <definedName name="BLOCK_POK_FHD_COLDVSNA_P2">'Показатели ФХД'!$771:$775</definedName>
    <definedName name="BLOCK_POK_FHD_HEAT_P1">'Показатели ФХД'!$33:$82</definedName>
    <definedName name="BLOCK_POK_FHD_HEAT_P2">'Показатели ФХД'!$127:$127</definedName>
    <definedName name="BLOCK_POK_FHD_HEAT_P3">'Показатели ФХД'!$154:$767</definedName>
    <definedName name="BLOCK_POK_FHD_HEAT_P4">'Показатели ФХД'!$769:$769</definedName>
    <definedName name="BLOCK_POK_FHD_HEAT_P5">'Показатели ФХД'!$776:$1996</definedName>
    <definedName name="BLOCK_POK_FHD_HEAT_P6">'Показатели ФХД'!$89:$89</definedName>
    <definedName name="BLOCK_POK_FHD_HOTVSNA_P1">'Показатели ФХД'!$83:$85</definedName>
    <definedName name="BLOCK_POK_FHD_HOTVSNA_P2">'Показатели ФХД'!$146:$150</definedName>
    <definedName name="BLOCK_POK_FHD_NOT_HEAT_P1">'Показатели ФХД'!$109:$110</definedName>
    <definedName name="BLOCK_POK_FHD_NOT_HEAT_P2">'Показатели ФХД'!$135:$135</definedName>
    <definedName name="BLOCK_POK_FHD_NOT_HOTVSNA">'Показатели ФХД'!$90:$90</definedName>
    <definedName name="BLOCK_POK_FHD_VOTV_P1">'Показатели ФХД'!$151:$153</definedName>
    <definedName name="BLOCK_POK_FHD_VSNA">'Показатели ФХД'!$770:$770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территорий'!$E$155:$I$155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REESTR_DS!$B$2:$B$34</definedName>
    <definedName name="DIFFERENTIATION_AREA">Дифференциация!$I$12:$I$65</definedName>
    <definedName name="DIFFERENTIATION_AREA_ID">Дифференциация!$U$11:$U$66</definedName>
    <definedName name="DIFFERENTIATION_CheckC">Дифференциация!$D$12:$M$65</definedName>
    <definedName name="DIFFERENTIATION_fieldMarker">Дифференциация!$W$12:$W$65</definedName>
    <definedName name="DIFFERENTIATION_ID">TEHSHEET!$E$57</definedName>
    <definedName name="DIFFERENTIATION_ID_DIFF">Дифференциация!$O$12:$O$65</definedName>
    <definedName name="DIFFERENTIATION_SYSTEM">Дифференциация!$M$12:$M$65</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Дифференциация!$Q$12:$Q$65</definedName>
    <definedName name="DIFFERENTIATION_UNMERGE_SYSTEM">Дифференциация!$R$12:$R$65</definedName>
    <definedName name="DIFFERENTIATION_UNMERGE_VD">Дифференциация!$P$12:$P$65</definedName>
    <definedName name="DIFFERENTIATION_VD">Дифференциация!$E$12:$E$65</definedName>
    <definedName name="DIFFERENTIATION_VD_ID">Дифференциация!$V$11:$V$66</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Дифференциация!$G$12:$G$65</definedName>
    <definedName name="pDel_DIFFERENTIATION_SYSTEM">Дифференциация!$K$12:$K$65</definedName>
    <definedName name="pDel_DIFFERENTIATION_VD">Дифференциация!$C$12:$C$65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территорий'!$C$12:$C$155</definedName>
    <definedName name="pDel_LT_MO">'Список территорий'!$D$11:$D$155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ФХД'!$F$82</definedName>
    <definedName name="pIns_B_FHD_2">'Показатели ФХД'!$F$126</definedName>
    <definedName name="pIns_B_FHD_3">'Показатели ФХД'!$F$757</definedName>
    <definedName name="pIns_B_FHD_4">'Показатели ФХД'!$F$775</definedName>
    <definedName name="pIns_B_FHD_5">'Показатели ФХД'!$F$1383</definedName>
    <definedName name="pIns_B_FHD_6">'Показатели ФХД'!$F$1991</definedName>
    <definedName name="pIns_B_FHD_DIFFERENTIATION">'Показатели ФХД'!$AP$24</definedName>
    <definedName name="pIns_B_FHD_TKO_2">'ТКО. Показатели ФХД'!$F$34</definedName>
    <definedName name="pIns_B_FHD_TKO_DIFFERENTIATION">'ТКО. Показатели ФХД'!$AP$9</definedName>
    <definedName name="pIns_B_FHD_TKO_TRANS_2">'ТКО. Транс. Показатели ФХД'!$F$29</definedName>
    <definedName name="pIns_B_FHD_TKO_TRANS_DIFFERENTIATION">'ТКО. Транс. Показатели ФХД'!$AP$9</definedName>
    <definedName name="pIns_B_FHD20_DIFFERENTIATION">'Показатели ФХД &gt;20%'!$D$311</definedName>
    <definedName name="pIns_B_KNE_DIFFERENTIATION">'Показатели КНЭ'!$BW$6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Ограничения!$BW$25</definedName>
    <definedName name="pIns_Q_PH_DIFFERENTIATION">'Потребительские характеристики'!$BW$8</definedName>
    <definedName name="pIns_Q_TP_1">ТП!$E$22</definedName>
    <definedName name="pIns_Q_TP_DIFFERENTIATION">ТП!$AO$8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Ограничения!$BW$26</definedName>
    <definedName name="pNote_Q_PH">'Потребительские характеристики'!$BW$9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Ограничения!$E$32:$BW$39</definedName>
    <definedName name="Q_LIMIT_diff_1">Ограничения!$I$26:$J$28</definedName>
    <definedName name="Q_Limit_diff_66">Ограничения!$K$26:$L$28</definedName>
    <definedName name="Q_Limit_diff_67">Ограничения!$M$26:$N$28</definedName>
    <definedName name="Q_Limit_diff_68">Ограничения!$O$26:$P$28</definedName>
    <definedName name="Q_Limit_diff_69">Ограничения!$Q$26:$R$28</definedName>
    <definedName name="Q_Limit_diff_70">Ограничения!$S$26:$T$28</definedName>
    <definedName name="Q_Limit_diff_71">Ограничения!$U$26:$V$28</definedName>
    <definedName name="Q_Limit_diff_72">Ограничения!$W$26:$X$28</definedName>
    <definedName name="Q_Limit_diff_73">Ограничения!$Y$26:$Z$28</definedName>
    <definedName name="Q_Limit_diff_74">Ограничения!$AA$26:$AB$28</definedName>
    <definedName name="Q_Limit_diff_75">Ограничения!$AC$26:$AD$28</definedName>
    <definedName name="Q_Limit_diff_76">Ограничения!$AE$26:$AF$28</definedName>
    <definedName name="Q_Limit_diff_77">Ограничения!$AG$26:$AH$28</definedName>
    <definedName name="Q_Limit_diff_78">Ограничения!$AI$26:$AJ$28</definedName>
    <definedName name="Q_Limit_diff_79">Ограничения!$AK$26:$AL$28</definedName>
    <definedName name="Q_Limit_diff_80">Ограничения!$AM$26:$AN$28</definedName>
    <definedName name="Q_Limit_diff_81">Ограничения!$AO$26:$AP$28</definedName>
    <definedName name="Q_Limit_diff_82">Ограничения!$AQ$26:$AR$28</definedName>
    <definedName name="Q_Limit_diff_83">Ограничения!$AS$26:$AT$28</definedName>
    <definedName name="Q_Limit_diff_84">Ограничения!$AU$26:$AV$28</definedName>
    <definedName name="Q_Limit_diff_85">Ограничения!$AW$26:$AX$28</definedName>
    <definedName name="Q_Limit_diff_86">Ограничения!$AY$26:$AZ$28</definedName>
    <definedName name="Q_Limit_diff_87">Ограничения!$BA$26:$BB$28</definedName>
    <definedName name="Q_Limit_diff_88">Ограничения!$BC$26:$BD$28</definedName>
    <definedName name="Q_Limit_diff_89">Ограничения!$BE$26:$BF$28</definedName>
    <definedName name="Q_Limit_diff_90">Ограничения!$BG$26:$BH$28</definedName>
    <definedName name="Q_Limit_diff_91">Ограничения!$BI$26:$BJ$28</definedName>
    <definedName name="Q_Limit_diff_92">Ограничения!$BK$26:$BL$28</definedName>
    <definedName name="Q_Limit_diff_93">Ограничения!$BM$26:$BN$28</definedName>
    <definedName name="Q_Limit_diff_94">Ограничения!$BO$26:$BP$28</definedName>
    <definedName name="Q_Limit_diff_95">Ограничения!$BQ$26:$BR$28</definedName>
    <definedName name="Q_Limit_diff_96">Ограничения!$BS$26:$BT$28</definedName>
    <definedName name="Q_Limit_diff_97">Ограничения!$BU$26:$BV$28</definedName>
    <definedName name="Q_LIMIT_p3">Ограничения!$F$36:$BW$36</definedName>
    <definedName name="Q_LIMIT_p4">Ограничения!$F$38:$BW$38</definedName>
    <definedName name="Q_PH_diff_1">'Потребительские характеристики'!$I$9:$J$11</definedName>
    <definedName name="Q_PH_diff_66">'Потребительские характеристики'!$K$9:$L$11</definedName>
    <definedName name="Q_PH_diff_67">'Потребительские характеристики'!$M$9:$N$11</definedName>
    <definedName name="Q_PH_diff_68">'Потребительские характеристики'!$O$9:$P$11</definedName>
    <definedName name="Q_PH_diff_69">'Потребительские характеристики'!$Q$9:$R$11</definedName>
    <definedName name="Q_PH_diff_70">'Потребительские характеристики'!$S$9:$T$11</definedName>
    <definedName name="Q_PH_diff_71">'Потребительские характеристики'!$U$9:$V$11</definedName>
    <definedName name="Q_PH_diff_72">'Потребительские характеристики'!$W$9:$X$11</definedName>
    <definedName name="Q_PH_diff_73">'Потребительские характеристики'!$Y$9:$Z$11</definedName>
    <definedName name="Q_PH_diff_74">'Потребительские характеристики'!$AA$9:$AB$11</definedName>
    <definedName name="Q_PH_diff_75">'Потребительские характеристики'!$AC$9:$AD$11</definedName>
    <definedName name="Q_PH_diff_76">'Потребительские характеристики'!$AE$9:$AF$11</definedName>
    <definedName name="Q_PH_diff_77">'Потребительские характеристики'!$AG$9:$AH$11</definedName>
    <definedName name="Q_PH_diff_78">'Потребительские характеристики'!$AI$9:$AJ$11</definedName>
    <definedName name="Q_PH_diff_79">'Потребительские характеристики'!$AK$9:$AL$11</definedName>
    <definedName name="Q_PH_diff_80">'Потребительские характеристики'!$AM$9:$AN$11</definedName>
    <definedName name="Q_PH_diff_81">'Потребительские характеристики'!$AO$9:$AP$11</definedName>
    <definedName name="Q_PH_diff_82">'Потребительские характеристики'!$AQ$9:$AR$11</definedName>
    <definedName name="Q_PH_diff_83">'Потребительские характеристики'!$AS$9:$AT$11</definedName>
    <definedName name="Q_PH_diff_84">'Потребительские характеристики'!$AU$9:$AV$11</definedName>
    <definedName name="Q_PH_diff_85">'Потребительские характеристики'!$AW$9:$AX$11</definedName>
    <definedName name="Q_PH_diff_86">'Потребительские характеристики'!$AY$9:$AZ$11</definedName>
    <definedName name="Q_PH_diff_87">'Потребительские характеристики'!$BA$9:$BB$11</definedName>
    <definedName name="Q_PH_diff_88">'Потребительские характеристики'!$BC$9:$BD$11</definedName>
    <definedName name="Q_PH_diff_89">'Потребительские характеристики'!$BE$9:$BF$11</definedName>
    <definedName name="Q_PH_diff_90">'Потребительские характеристики'!$BG$9:$BH$11</definedName>
    <definedName name="Q_PH_diff_91">'Потребительские характеристики'!$BI$9:$BJ$11</definedName>
    <definedName name="Q_PH_diff_92">'Потребительские характеристики'!$BK$9:$BL$11</definedName>
    <definedName name="Q_PH_diff_93">'Потребительские характеристики'!$BM$9:$BN$11</definedName>
    <definedName name="Q_PH_diff_94">'Потребительские характеристики'!$BO$9:$BP$11</definedName>
    <definedName name="Q_PH_diff_95">'Потребительские характеристики'!$BQ$9:$BR$11</definedName>
    <definedName name="Q_PH_diff_96">'Потребительские характеристики'!$BS$9:$BT$11</definedName>
    <definedName name="Q_PH_diff_97">'Потребительские характеристики'!$BU$9:$BV$11</definedName>
    <definedName name="Q_TP_COUNT_REFUSAL">ТП!$H$17:$H$17</definedName>
    <definedName name="Q_TP_diff_1">ТП!$H$9:$H$11</definedName>
    <definedName name="Q_TP_diff_66">ТП!$I$9:$I$11</definedName>
    <definedName name="Q_TP_diff_67">ТП!$J$9:$J$11</definedName>
    <definedName name="Q_TP_diff_68">ТП!$K$9:$K$11</definedName>
    <definedName name="Q_TP_diff_69">ТП!$L$9:$L$11</definedName>
    <definedName name="Q_TP_diff_70">ТП!$M$9:$M$11</definedName>
    <definedName name="Q_TP_diff_71">ТП!$N$9:$N$11</definedName>
    <definedName name="Q_TP_diff_72">ТП!$O$9:$O$11</definedName>
    <definedName name="Q_TP_diff_73">ТП!$P$9:$P$11</definedName>
    <definedName name="Q_TP_diff_74">ТП!$Q$9:$Q$11</definedName>
    <definedName name="Q_TP_diff_75">ТП!$R$9:$R$11</definedName>
    <definedName name="Q_TP_diff_76">ТП!$S$9:$S$11</definedName>
    <definedName name="Q_TP_diff_77">ТП!$T$9:$T$11</definedName>
    <definedName name="Q_TP_diff_78">ТП!$U$9:$U$11</definedName>
    <definedName name="Q_TP_diff_79">ТП!$V$9:$V$11</definedName>
    <definedName name="Q_TP_diff_80">ТП!$W$9:$W$11</definedName>
    <definedName name="Q_TP_diff_81">ТП!$X$9:$X$11</definedName>
    <definedName name="Q_TP_diff_82">ТП!$Y$9:$Y$11</definedName>
    <definedName name="Q_TP_diff_83">ТП!$Z$9:$Z$11</definedName>
    <definedName name="Q_TP_diff_84">ТП!$AA$9:$AA$11</definedName>
    <definedName name="Q_TP_diff_85">ТП!$AB$9:$AB$11</definedName>
    <definedName name="Q_TP_diff_86">ТП!$AC$9:$AC$11</definedName>
    <definedName name="Q_TP_diff_87">ТП!$AD$9:$AD$11</definedName>
    <definedName name="Q_TP_diff_88">ТП!$AE$9:$AE$11</definedName>
    <definedName name="Q_TP_diff_89">ТП!$AF$9:$AF$11</definedName>
    <definedName name="Q_TP_diff_90">ТП!$AG$9:$AG$11</definedName>
    <definedName name="Q_TP_diff_91">ТП!$AH$9:$AH$11</definedName>
    <definedName name="Q_TP_diff_92">ТП!$AI$9:$AI$11</definedName>
    <definedName name="Q_TP_diff_93">ТП!$AJ$9:$AJ$11</definedName>
    <definedName name="Q_TP_diff_94">ТП!$AK$9:$AK$11</definedName>
    <definedName name="Q_TP_diff_95">ТП!$AL$9:$AL$11</definedName>
    <definedName name="Q_TP_diff_96">ТП!$AM$9:$AM$11</definedName>
    <definedName name="Q_TP_diff_97">ТП!$AN$9:$AN$11</definedName>
    <definedName name="QRE_METHOD_LIST">TEHSHEET!$AZ$8:$AZ$10</definedName>
    <definedName name="QUARTER">TEHSHEET!$F$2:$F$5</definedName>
    <definedName name="REESTR_IP_RANGE">REESTR_IP!$A$2:$D$21</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территорий'!#REF!</definedName>
    <definedName name="ter_56">'Список территорий'!$G$16:$I$16</definedName>
    <definedName name="ter_57">'Список территорий'!$G$19:$I$19</definedName>
    <definedName name="ter_58">'Список территорий'!$G$22:$I$22</definedName>
    <definedName name="ter_59">'Список территорий'!$G$25:$I$30</definedName>
    <definedName name="ter_60">'Список территорий'!$G$33:$I$33</definedName>
    <definedName name="ter_61">'Список территорий'!$G$36:$I$36</definedName>
    <definedName name="ter_62">'Список территорий'!$G$39:$I$39</definedName>
    <definedName name="ter_63">'Список территорий'!$G$42:$I$42</definedName>
    <definedName name="ter_64">'Список территорий'!$G$45:$I$52</definedName>
    <definedName name="ter_65">'Список территорий'!$G$55:$I$55</definedName>
    <definedName name="ter_67">'Список территорий'!$G$58:$I$58</definedName>
    <definedName name="ter_68">'Список территорий'!$G$61:$I$64</definedName>
    <definedName name="ter_69">'Список территорий'!$G$67:$I$74</definedName>
    <definedName name="ter_70">'Список территорий'!$G$77:$I$77</definedName>
    <definedName name="ter_71">'Список территорий'!$G$80:$I$87</definedName>
    <definedName name="ter_72">'Список территорий'!$G$90:$I$93</definedName>
    <definedName name="ter_73">'Список территорий'!$G$96:$I$96</definedName>
    <definedName name="ter_74">'Список территорий'!$G$99:$I$99</definedName>
    <definedName name="ter_75">'Список территорий'!$G$102:$I$102</definedName>
    <definedName name="ter_76">'Список территорий'!$G$105:$I$105</definedName>
    <definedName name="ter_77">'Список территорий'!$G$108:$I$108</definedName>
    <definedName name="ter_78">'Список территорий'!$G$111:$I$111</definedName>
    <definedName name="ter_79">'Список территорий'!$G$114:$I$114</definedName>
    <definedName name="ter_80">'Список территорий'!$G$117:$I$121</definedName>
    <definedName name="ter_81">'Список территорий'!$G$124:$I$124</definedName>
    <definedName name="ter_82">'Список территорий'!$G$127:$I$133</definedName>
    <definedName name="ter_83">'Список территорий'!$G$136:$I$138</definedName>
    <definedName name="ter_84">'Список территорий'!$G$141:$I$141</definedName>
    <definedName name="ter_85">'Список территорий'!$G$144:$I$144</definedName>
    <definedName name="ter_86">'Список территорий'!$G$147:$I$147</definedName>
    <definedName name="ter_87">'Список территорий'!$G$150:$I$150</definedName>
    <definedName name="ter_88">'Список территорий'!$G$153:$I$153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территорий'!$E$11:$I$155</definedName>
    <definedName name="TERRITORY_ID">TEHSHEET!$E$56</definedName>
    <definedName name="TERRITORY_LIST_ID">'Список территорий'!$F$11:$F$155</definedName>
    <definedName name="TERRITORY_MO_LIST">'Список территорий'!$H$11:$H$155</definedName>
    <definedName name="TERRITORY_MR_LIST">'Список территорий'!$G$11:$G$155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Дифференциация!$F$12:$F$65</definedName>
    <definedName name="Y_N_DIFFERENTIATION_SYSTEM">Дифференциация!$J$12:$J$65</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S11" i="66" l="1" a="1"/>
  <c r="S11" i="66" s="1"/>
  <c r="G11" i="66"/>
  <c r="S2" i="66" a="1"/>
  <c r="S2" i="66" s="1"/>
  <c r="G2" i="66"/>
  <c r="R10" i="65"/>
  <c r="P10" i="65" a="1"/>
  <c r="P10" i="65" s="1"/>
  <c r="F10" i="65"/>
  <c r="K8" i="65"/>
  <c r="J8" i="65"/>
  <c r="G8" i="65"/>
  <c r="E5" i="65"/>
  <c r="R2" i="65"/>
  <c r="P2" i="65" a="1"/>
  <c r="P2" i="65" s="1"/>
  <c r="F2" i="65"/>
  <c r="P9" i="64"/>
  <c r="N9" i="64" a="1"/>
  <c r="N9" i="64" s="1"/>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U45" i="54"/>
  <c r="V45" i="54" s="1"/>
  <c r="W45" i="54" s="1"/>
  <c r="X45" i="54" s="1"/>
  <c r="Y45" i="54" s="1"/>
  <c r="Z45" i="54" s="1"/>
  <c r="AA45" i="54" s="1"/>
  <c r="AC45" i="54" s="1"/>
  <c r="AD45" i="54" s="1"/>
  <c r="AD37" i="54"/>
  <c r="AD36" i="54"/>
  <c r="AD34" i="54"/>
  <c r="AD33" i="54"/>
  <c r="AD32" i="54"/>
  <c r="AD31" i="54"/>
  <c r="S29" i="54"/>
  <c r="S28" i="54"/>
  <c r="BF18" i="54"/>
  <c r="BF17" i="54"/>
  <c r="BF16" i="54"/>
  <c r="BF15" i="54"/>
  <c r="BF14" i="54"/>
  <c r="BF13" i="54"/>
  <c r="BF12" i="54"/>
  <c r="BB12" i="54"/>
  <c r="AW12" i="54"/>
  <c r="AU12" i="54"/>
  <c r="Y12" i="54"/>
  <c r="W12" i="54"/>
  <c r="BF8" i="54"/>
  <c r="BF7" i="54"/>
  <c r="J7" i="54"/>
  <c r="BF6" i="54"/>
  <c r="I6" i="54"/>
  <c r="BF5" i="54"/>
  <c r="BF4" i="54"/>
  <c r="AD4" i="54"/>
  <c r="S4" i="54"/>
  <c r="K8" i="54" s="1"/>
  <c r="S8" i="54" s="1"/>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J6" i="53"/>
  <c r="AN5" i="53"/>
  <c r="AN4" i="53"/>
  <c r="AC4" i="53"/>
  <c r="S4" i="53"/>
  <c r="I5" i="53" s="1"/>
  <c r="S5" i="53" s="1"/>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U40" i="52"/>
  <c r="V40" i="52" s="1"/>
  <c r="W40" i="52" s="1"/>
  <c r="X40" i="52" s="1"/>
  <c r="Y40" i="52" s="1"/>
  <c r="Z40" i="52" s="1"/>
  <c r="AB40" i="52" s="1"/>
  <c r="AC40" i="52" s="1"/>
  <c r="AD40" i="52" s="1"/>
  <c r="AE40" i="52" s="1"/>
  <c r="AF40" i="52" s="1"/>
  <c r="AG40" i="52" s="1"/>
  <c r="AI40" i="52" s="1"/>
  <c r="AJ40" i="52" s="1"/>
  <c r="AK40" i="52" s="1"/>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I5" i="52"/>
  <c r="S5" i="52" s="1"/>
  <c r="AN4" i="52"/>
  <c r="AC4" i="52"/>
  <c r="S4" i="52"/>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U45" i="51"/>
  <c r="V45" i="51" s="1"/>
  <c r="W45" i="51" s="1"/>
  <c r="X45" i="51" s="1"/>
  <c r="Y45" i="51" s="1"/>
  <c r="Z45" i="51" s="1"/>
  <c r="AA45" i="51" s="1"/>
  <c r="AC45" i="51" s="1"/>
  <c r="AD45" i="51" s="1"/>
  <c r="AD37" i="51"/>
  <c r="AD36" i="51"/>
  <c r="AD34" i="51"/>
  <c r="AD33" i="51"/>
  <c r="AD32" i="51"/>
  <c r="AD31" i="51"/>
  <c r="S29" i="51"/>
  <c r="S28" i="51"/>
  <c r="BF18" i="51"/>
  <c r="BF17" i="51"/>
  <c r="BF16" i="51"/>
  <c r="BF15" i="51"/>
  <c r="BF14" i="51"/>
  <c r="BF13" i="51"/>
  <c r="BF12" i="51"/>
  <c r="BB12" i="51"/>
  <c r="AW12" i="51"/>
  <c r="AU12" i="51"/>
  <c r="Y12" i="51"/>
  <c r="W12" i="51"/>
  <c r="BF8" i="51"/>
  <c r="K8" i="51"/>
  <c r="S8" i="51" s="1"/>
  <c r="BF7" i="51"/>
  <c r="J7" i="51"/>
  <c r="BF6" i="51"/>
  <c r="I6" i="51"/>
  <c r="BF5" i="51"/>
  <c r="BF4" i="51"/>
  <c r="AD4" i="51"/>
  <c r="S4" i="5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AN4" i="50"/>
  <c r="AC4" i="50"/>
  <c r="S4" i="50"/>
  <c r="I5" i="50" s="1"/>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U40" i="49"/>
  <c r="V40" i="49" s="1"/>
  <c r="W40" i="49" s="1"/>
  <c r="X40" i="49" s="1"/>
  <c r="Y40" i="49" s="1"/>
  <c r="Z40" i="49" s="1"/>
  <c r="AB40" i="49" s="1"/>
  <c r="AC40" i="49" s="1"/>
  <c r="AD40" i="49" s="1"/>
  <c r="AE40" i="49" s="1"/>
  <c r="AF40" i="49" s="1"/>
  <c r="AG40" i="49" s="1"/>
  <c r="AI40" i="49" s="1"/>
  <c r="AJ40" i="49" s="1"/>
  <c r="AK40" i="49" s="1"/>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S6" i="49"/>
  <c r="J6" i="49"/>
  <c r="K7" i="49" s="1"/>
  <c r="S7" i="49" s="1"/>
  <c r="AN5" i="49"/>
  <c r="AN4" i="49"/>
  <c r="AC4" i="49"/>
  <c r="S4" i="49"/>
  <c r="I5" i="49" s="1"/>
  <c r="S5" i="49" s="1"/>
  <c r="AN3" i="49"/>
  <c r="AC3" i="49"/>
  <c r="S3" i="49"/>
  <c r="AN2" i="49"/>
  <c r="AK2" i="49"/>
  <c r="AC2" i="49"/>
  <c r="S2" i="49"/>
  <c r="F6" i="48"/>
  <c r="H57" i="47"/>
  <c r="H56" i="47"/>
  <c r="H55" i="47"/>
  <c r="I54" i="47"/>
  <c r="H54" i="47"/>
  <c r="H53" i="47"/>
  <c r="H52" i="47"/>
  <c r="H51" i="47"/>
  <c r="H50" i="47"/>
  <c r="I49" i="47"/>
  <c r="H49" i="47" s="1"/>
  <c r="I48" i="47"/>
  <c r="H48" i="47" s="1"/>
  <c r="H47" i="47"/>
  <c r="H46" i="47"/>
  <c r="H45" i="47"/>
  <c r="I44" i="47"/>
  <c r="H44" i="47"/>
  <c r="H43" i="47"/>
  <c r="H42" i="47"/>
  <c r="H41" i="47"/>
  <c r="H40" i="47"/>
  <c r="I39" i="47"/>
  <c r="H39" i="47" s="1"/>
  <c r="I38" i="47"/>
  <c r="H38" i="47" s="1"/>
  <c r="H35" i="47"/>
  <c r="H34" i="47"/>
  <c r="H33" i="47"/>
  <c r="I32" i="47"/>
  <c r="H32" i="47" s="1"/>
  <c r="H31" i="47"/>
  <c r="H30" i="47"/>
  <c r="H29" i="47"/>
  <c r="I28" i="47"/>
  <c r="I36" i="47" s="1"/>
  <c r="H36" i="47" s="1"/>
  <c r="H28" i="47"/>
  <c r="H27" i="47"/>
  <c r="H26" i="47"/>
  <c r="H25" i="47"/>
  <c r="H24" i="47"/>
  <c r="H23" i="47"/>
  <c r="H22" i="47"/>
  <c r="H21" i="47"/>
  <c r="H20" i="47"/>
  <c r="H19" i="47"/>
  <c r="H18" i="47"/>
  <c r="H17" i="47"/>
  <c r="H16" i="47"/>
  <c r="I15" i="47"/>
  <c r="H15" i="47"/>
  <c r="H11" i="47"/>
  <c r="F6" i="47"/>
  <c r="F6" i="46"/>
  <c r="H15" i="45"/>
  <c r="F6" i="45"/>
  <c r="BM14" i="44"/>
  <c r="BK14" i="44"/>
  <c r="AC14" i="44"/>
  <c r="Y14" i="44"/>
  <c r="S14" i="44"/>
  <c r="Q14" i="44"/>
  <c r="M14" i="44"/>
  <c r="K14" i="44"/>
  <c r="I14" i="44"/>
  <c r="BM13" i="44"/>
  <c r="BK13" i="44"/>
  <c r="BI13" i="44"/>
  <c r="W13" i="44"/>
  <c r="U13" i="44"/>
  <c r="S13" i="44"/>
  <c r="Q13" i="44"/>
  <c r="M13" i="44"/>
  <c r="K13" i="44"/>
  <c r="I13" i="44"/>
  <c r="BV12" i="44"/>
  <c r="BU12" i="44"/>
  <c r="BT12" i="44"/>
  <c r="BS12" i="44"/>
  <c r="BR12" i="44"/>
  <c r="BQ12" i="44"/>
  <c r="BP12" i="44"/>
  <c r="BO12" i="44"/>
  <c r="BN12" i="44"/>
  <c r="BM12" i="44"/>
  <c r="BL12" i="44"/>
  <c r="BK12" i="44"/>
  <c r="BJ12" i="44"/>
  <c r="BI12" i="44"/>
  <c r="BH12" i="44"/>
  <c r="BG12" i="44"/>
  <c r="BF12" i="44"/>
  <c r="BE12" i="44"/>
  <c r="BD12" i="44"/>
  <c r="BC12" i="44"/>
  <c r="BB12" i="44"/>
  <c r="BA12" i="44"/>
  <c r="AZ12" i="44"/>
  <c r="AY12" i="44"/>
  <c r="AX12" i="44"/>
  <c r="AW12" i="44"/>
  <c r="AV12" i="44"/>
  <c r="AU12" i="44"/>
  <c r="AT12" i="44"/>
  <c r="AS12" i="44"/>
  <c r="AR12" i="44"/>
  <c r="AQ12" i="44"/>
  <c r="AP12" i="44"/>
  <c r="AO12" i="44"/>
  <c r="AN12" i="44"/>
  <c r="AM12" i="44"/>
  <c r="AL12" i="44"/>
  <c r="AK12" i="44"/>
  <c r="AJ12" i="44"/>
  <c r="AI12" i="44"/>
  <c r="AH12" i="44"/>
  <c r="AG12" i="44"/>
  <c r="AF12" i="44"/>
  <c r="AE12" i="44"/>
  <c r="AD12" i="44"/>
  <c r="AC12" i="44"/>
  <c r="AB12" i="44"/>
  <c r="AA12" i="44"/>
  <c r="Z12" i="44"/>
  <c r="Y12" i="44"/>
  <c r="X12" i="44"/>
  <c r="W12" i="44"/>
  <c r="V12" i="44"/>
  <c r="U12" i="44"/>
  <c r="T12" i="44"/>
  <c r="S12" i="44"/>
  <c r="R12" i="44"/>
  <c r="Q12" i="44"/>
  <c r="P12" i="44"/>
  <c r="O12" i="44"/>
  <c r="N12" i="44"/>
  <c r="M12" i="44"/>
  <c r="L12" i="44"/>
  <c r="K12" i="44"/>
  <c r="J12" i="44"/>
  <c r="I12" i="44"/>
  <c r="H12" i="44"/>
  <c r="G12" i="44"/>
  <c r="G9" i="44"/>
  <c r="G8" i="44"/>
  <c r="G7" i="44"/>
  <c r="D4" i="44"/>
  <c r="E28" i="43"/>
  <c r="AP27" i="43"/>
  <c r="AO27" i="43"/>
  <c r="AN27" i="43"/>
  <c r="AN16" i="43" s="1"/>
  <c r="AM27" i="43"/>
  <c r="AM16" i="43" s="1"/>
  <c r="AL27" i="43"/>
  <c r="AL16" i="43" s="1"/>
  <c r="AK27" i="43"/>
  <c r="AK16" i="43" s="1"/>
  <c r="AJ27" i="43"/>
  <c r="AJ16" i="43" s="1"/>
  <c r="AI27" i="43"/>
  <c r="AI16" i="43" s="1"/>
  <c r="AH27" i="43"/>
  <c r="AG27" i="43"/>
  <c r="AF27" i="43"/>
  <c r="AE27" i="43"/>
  <c r="AE16" i="43" s="1"/>
  <c r="AD27" i="43"/>
  <c r="AC27" i="43"/>
  <c r="AC16" i="43" s="1"/>
  <c r="AB27" i="43"/>
  <c r="AB16" i="43" s="1"/>
  <c r="AA27" i="43"/>
  <c r="Z27" i="43"/>
  <c r="Y27" i="43"/>
  <c r="X27" i="43"/>
  <c r="W27" i="43"/>
  <c r="V27" i="43"/>
  <c r="V16" i="43" s="1"/>
  <c r="U27" i="43"/>
  <c r="U16" i="43" s="1"/>
  <c r="T27" i="43"/>
  <c r="T16" i="43" s="1"/>
  <c r="S27" i="43"/>
  <c r="S16" i="43" s="1"/>
  <c r="R27" i="43"/>
  <c r="Q27" i="43"/>
  <c r="P27" i="43"/>
  <c r="O27" i="43"/>
  <c r="O16" i="43" s="1"/>
  <c r="N27" i="43"/>
  <c r="N16" i="43" s="1"/>
  <c r="M27" i="43"/>
  <c r="M16" i="43" s="1"/>
  <c r="L27" i="43"/>
  <c r="L16" i="43" s="1"/>
  <c r="K27" i="43"/>
  <c r="K16" i="43" s="1"/>
  <c r="J27" i="43"/>
  <c r="I27" i="43"/>
  <c r="H27" i="43"/>
  <c r="AP16" i="43"/>
  <c r="AO16" i="43"/>
  <c r="AH16" i="43"/>
  <c r="AG16" i="43"/>
  <c r="AF16" i="43"/>
  <c r="AD16" i="43"/>
  <c r="AA16" i="43"/>
  <c r="Z16" i="43"/>
  <c r="Y16" i="43"/>
  <c r="X16" i="43"/>
  <c r="W16" i="43"/>
  <c r="R16" i="43"/>
  <c r="Q16" i="43"/>
  <c r="P16" i="43"/>
  <c r="J16" i="43"/>
  <c r="I16" i="43"/>
  <c r="H16" i="43"/>
  <c r="AP12" i="43"/>
  <c r="H12" i="43"/>
  <c r="AP11" i="43"/>
  <c r="H11" i="43"/>
  <c r="AP10" i="43"/>
  <c r="H10" i="43"/>
  <c r="E7" i="43"/>
  <c r="E33" i="42"/>
  <c r="AP32" i="42"/>
  <c r="AO32" i="42"/>
  <c r="AN32" i="42"/>
  <c r="AM32" i="42"/>
  <c r="AM16" i="42" s="1"/>
  <c r="AL32" i="42"/>
  <c r="AK32" i="42"/>
  <c r="AK16" i="42" s="1"/>
  <c r="AJ32" i="42"/>
  <c r="AJ16" i="42" s="1"/>
  <c r="AI32" i="42"/>
  <c r="AH32" i="42"/>
  <c r="AG32" i="42"/>
  <c r="AF32" i="42"/>
  <c r="AF16" i="42" s="1"/>
  <c r="AE32" i="42"/>
  <c r="AD32" i="42"/>
  <c r="AD16" i="42" s="1"/>
  <c r="AC32" i="42"/>
  <c r="AC16" i="42" s="1"/>
  <c r="AB32" i="42"/>
  <c r="AB16" i="42" s="1"/>
  <c r="AA32" i="42"/>
  <c r="Z32" i="42"/>
  <c r="Y32" i="42"/>
  <c r="X32" i="42"/>
  <c r="X16" i="42" s="1"/>
  <c r="W32" i="42"/>
  <c r="W16" i="42" s="1"/>
  <c r="V32" i="42"/>
  <c r="U32" i="42"/>
  <c r="U16" i="42" s="1"/>
  <c r="T32" i="42"/>
  <c r="T16" i="42" s="1"/>
  <c r="S32" i="42"/>
  <c r="S16" i="42" s="1"/>
  <c r="R32" i="42"/>
  <c r="Q32" i="42"/>
  <c r="P32" i="42"/>
  <c r="P16" i="42" s="1"/>
  <c r="O32" i="42"/>
  <c r="O16" i="42" s="1"/>
  <c r="N32" i="42"/>
  <c r="N16" i="42" s="1"/>
  <c r="M32" i="42"/>
  <c r="M16" i="42" s="1"/>
  <c r="L32" i="42"/>
  <c r="K32" i="42"/>
  <c r="J32" i="42"/>
  <c r="I32" i="42"/>
  <c r="H32" i="42"/>
  <c r="AP16" i="42"/>
  <c r="AO16" i="42"/>
  <c r="AN16" i="42"/>
  <c r="AL16" i="42"/>
  <c r="AI16" i="42"/>
  <c r="AH16" i="42"/>
  <c r="AG16" i="42"/>
  <c r="AE16" i="42"/>
  <c r="AA16" i="42"/>
  <c r="Z16" i="42"/>
  <c r="Y16" i="42"/>
  <c r="V16" i="42"/>
  <c r="R16" i="42"/>
  <c r="Q16" i="42"/>
  <c r="L16" i="42"/>
  <c r="K16" i="42"/>
  <c r="J16" i="42"/>
  <c r="I16" i="42"/>
  <c r="H16" i="42"/>
  <c r="AP12" i="42"/>
  <c r="H12" i="42"/>
  <c r="AP11" i="42"/>
  <c r="H11" i="42"/>
  <c r="AP10" i="42"/>
  <c r="H10" i="42"/>
  <c r="E7" i="42"/>
  <c r="Q305" i="41"/>
  <c r="Q296" i="41"/>
  <c r="Q287" i="41"/>
  <c r="Q278" i="41"/>
  <c r="Q269" i="41"/>
  <c r="Q260" i="41"/>
  <c r="Q251" i="41"/>
  <c r="Q242" i="41"/>
  <c r="Q233" i="41"/>
  <c r="Q224" i="41"/>
  <c r="Q215" i="41"/>
  <c r="Q206" i="41"/>
  <c r="Q197" i="41"/>
  <c r="Q188" i="41"/>
  <c r="Q179" i="41"/>
  <c r="Q170" i="41"/>
  <c r="Q161" i="41"/>
  <c r="Q152" i="41"/>
  <c r="Q143" i="41"/>
  <c r="Q134" i="41"/>
  <c r="Q125" i="41"/>
  <c r="Q116" i="41"/>
  <c r="Q107" i="41"/>
  <c r="Q98" i="41"/>
  <c r="Q89" i="41"/>
  <c r="Q80" i="41"/>
  <c r="Q71" i="41"/>
  <c r="Q62" i="41"/>
  <c r="Q53" i="41"/>
  <c r="Q44" i="41"/>
  <c r="Q35" i="41"/>
  <c r="Q26" i="41"/>
  <c r="V20" i="41"/>
  <c r="Q20" i="41"/>
  <c r="V17" i="41"/>
  <c r="Q17" i="41"/>
  <c r="E6" i="41"/>
  <c r="E896" i="40"/>
  <c r="E683" i="40"/>
  <c r="AP142" i="40"/>
  <c r="AO142" i="40"/>
  <c r="AN142" i="40"/>
  <c r="AM142" i="40"/>
  <c r="AL142" i="40"/>
  <c r="AK142" i="40"/>
  <c r="AJ142" i="40"/>
  <c r="AI142" i="40"/>
  <c r="AH142" i="40"/>
  <c r="AG142" i="40"/>
  <c r="AF142" i="40"/>
  <c r="AE142" i="40"/>
  <c r="AD142" i="40"/>
  <c r="AC142" i="40"/>
  <c r="AB142" i="40"/>
  <c r="AA142" i="40"/>
  <c r="Z142" i="40"/>
  <c r="Y142" i="40"/>
  <c r="X142" i="40"/>
  <c r="W142" i="40"/>
  <c r="V142" i="40"/>
  <c r="U142" i="40"/>
  <c r="T142" i="40"/>
  <c r="S142" i="40"/>
  <c r="R142" i="40"/>
  <c r="Q142" i="40"/>
  <c r="P142" i="40"/>
  <c r="O142" i="40"/>
  <c r="N142" i="40"/>
  <c r="M142" i="40"/>
  <c r="L142" i="40"/>
  <c r="K142" i="40"/>
  <c r="J142" i="40"/>
  <c r="I142" i="40"/>
  <c r="H142" i="40"/>
  <c r="AK131" i="40"/>
  <c r="AJ131" i="40"/>
  <c r="AI131" i="40"/>
  <c r="AI130" i="40" s="1"/>
  <c r="AH131" i="40"/>
  <c r="AG131" i="40"/>
  <c r="AF131" i="40"/>
  <c r="AE131" i="40"/>
  <c r="AD131" i="40"/>
  <c r="AD130" i="40" s="1"/>
  <c r="AC131" i="40"/>
  <c r="AB131" i="40"/>
  <c r="AB130" i="40" s="1"/>
  <c r="AA131" i="40"/>
  <c r="Z131" i="40"/>
  <c r="Z130" i="40" s="1"/>
  <c r="Y131" i="40"/>
  <c r="X131" i="40"/>
  <c r="W131" i="40"/>
  <c r="V131" i="40"/>
  <c r="V130" i="40" s="1"/>
  <c r="U131" i="40"/>
  <c r="T131" i="40"/>
  <c r="T130" i="40" s="1"/>
  <c r="S131" i="40"/>
  <c r="R131" i="40"/>
  <c r="Q131" i="40"/>
  <c r="P131" i="40"/>
  <c r="P130" i="40" s="1"/>
  <c r="O131" i="40"/>
  <c r="O130" i="40" s="1"/>
  <c r="N131" i="40"/>
  <c r="K131" i="40"/>
  <c r="J131" i="40"/>
  <c r="J130" i="40" s="1"/>
  <c r="I131" i="40"/>
  <c r="I130" i="40" s="1"/>
  <c r="AK130" i="40"/>
  <c r="AJ130" i="40"/>
  <c r="AH130" i="40"/>
  <c r="AG130" i="40"/>
  <c r="AF130" i="40"/>
  <c r="AE130" i="40"/>
  <c r="AC130" i="40"/>
  <c r="AA130" i="40"/>
  <c r="Y130" i="40"/>
  <c r="X130" i="40"/>
  <c r="W130" i="40"/>
  <c r="U130" i="40"/>
  <c r="S130" i="40"/>
  <c r="R130" i="40"/>
  <c r="Q130" i="40"/>
  <c r="N130" i="40"/>
  <c r="K130" i="40"/>
  <c r="AP111" i="40"/>
  <c r="AO111" i="40"/>
  <c r="AN111" i="40"/>
  <c r="AM111" i="40"/>
  <c r="AL111" i="40"/>
  <c r="AK111" i="40"/>
  <c r="AJ111" i="40"/>
  <c r="AI111" i="40"/>
  <c r="AH111" i="40"/>
  <c r="AG111" i="40"/>
  <c r="AF111" i="40"/>
  <c r="AE111" i="40"/>
  <c r="AD111" i="40"/>
  <c r="AC111" i="40"/>
  <c r="AB111" i="40"/>
  <c r="AA111" i="40"/>
  <c r="Z111" i="40"/>
  <c r="Y111" i="40"/>
  <c r="X111" i="40"/>
  <c r="W111" i="40"/>
  <c r="V111" i="40"/>
  <c r="U111" i="40"/>
  <c r="T111" i="40"/>
  <c r="S111" i="40"/>
  <c r="R111" i="40"/>
  <c r="Q111" i="40"/>
  <c r="P111" i="40"/>
  <c r="O111" i="40"/>
  <c r="N111" i="40"/>
  <c r="M111" i="40"/>
  <c r="L111" i="40"/>
  <c r="K111" i="40"/>
  <c r="J111" i="40"/>
  <c r="I111" i="40"/>
  <c r="H111" i="40"/>
  <c r="AR110" i="40"/>
  <c r="AR108" i="40"/>
  <c r="AJ86" i="40"/>
  <c r="J86" i="40"/>
  <c r="AQ82" i="40"/>
  <c r="AP77" i="40"/>
  <c r="AO77" i="40"/>
  <c r="AN77" i="40"/>
  <c r="AM77" i="40"/>
  <c r="AL77" i="40"/>
  <c r="AK77" i="40"/>
  <c r="AJ77" i="40"/>
  <c r="AI77" i="40"/>
  <c r="AH77" i="40"/>
  <c r="AG77" i="40"/>
  <c r="AF77" i="40"/>
  <c r="AE77" i="40"/>
  <c r="AD77" i="40"/>
  <c r="AC77" i="40"/>
  <c r="AB77" i="40"/>
  <c r="AA77" i="40"/>
  <c r="Z77" i="40"/>
  <c r="Y77" i="40"/>
  <c r="X77" i="40"/>
  <c r="W77" i="40"/>
  <c r="V77" i="40"/>
  <c r="U77" i="40"/>
  <c r="T77" i="40"/>
  <c r="S77" i="40"/>
  <c r="R77" i="40"/>
  <c r="Q77" i="40"/>
  <c r="P77" i="40"/>
  <c r="O77" i="40"/>
  <c r="N77" i="40"/>
  <c r="M77" i="40"/>
  <c r="L77" i="40"/>
  <c r="K77" i="40"/>
  <c r="J77" i="40"/>
  <c r="I77" i="40"/>
  <c r="H77" i="40"/>
  <c r="AP71" i="40"/>
  <c r="AO71" i="40"/>
  <c r="AN71" i="40"/>
  <c r="AM71" i="40"/>
  <c r="AL71" i="40"/>
  <c r="AK71" i="40"/>
  <c r="AJ71" i="40"/>
  <c r="AI71" i="40"/>
  <c r="AH71" i="40"/>
  <c r="AG71" i="40"/>
  <c r="AF71" i="40"/>
  <c r="AE71" i="40"/>
  <c r="AD71" i="40"/>
  <c r="AC71" i="40"/>
  <c r="AB71" i="40"/>
  <c r="AA71" i="40"/>
  <c r="Z71" i="40"/>
  <c r="Y71" i="40"/>
  <c r="X71" i="40"/>
  <c r="W71" i="40"/>
  <c r="V71" i="40"/>
  <c r="U71" i="40"/>
  <c r="T71" i="40"/>
  <c r="S71" i="40"/>
  <c r="R71" i="40"/>
  <c r="Q71" i="40"/>
  <c r="P71" i="40"/>
  <c r="O71" i="40"/>
  <c r="N71" i="40"/>
  <c r="M71" i="40"/>
  <c r="L71" i="40"/>
  <c r="K71" i="40"/>
  <c r="J71" i="40"/>
  <c r="I71" i="40"/>
  <c r="H71" i="40"/>
  <c r="AP65" i="40"/>
  <c r="AO65" i="40"/>
  <c r="AN65" i="40"/>
  <c r="AM65" i="40"/>
  <c r="AL65" i="40"/>
  <c r="AK65" i="40"/>
  <c r="AJ65" i="40"/>
  <c r="AI65" i="40"/>
  <c r="AH65" i="40"/>
  <c r="AG65" i="40"/>
  <c r="AF65" i="40"/>
  <c r="AE65" i="40"/>
  <c r="AD65" i="40"/>
  <c r="AC65" i="40"/>
  <c r="AB65" i="40"/>
  <c r="AA65" i="40"/>
  <c r="Z65" i="40"/>
  <c r="Y65" i="40"/>
  <c r="X65" i="40"/>
  <c r="W65" i="40"/>
  <c r="V65" i="40"/>
  <c r="U65" i="40"/>
  <c r="T65" i="40"/>
  <c r="S65" i="40"/>
  <c r="R65" i="40"/>
  <c r="Q65" i="40"/>
  <c r="P65" i="40"/>
  <c r="O65" i="40"/>
  <c r="N65" i="40"/>
  <c r="M65" i="40"/>
  <c r="L65" i="40"/>
  <c r="K65" i="40"/>
  <c r="J65" i="40"/>
  <c r="I65" i="40"/>
  <c r="H65" i="40"/>
  <c r="AP59" i="40"/>
  <c r="AO59" i="40"/>
  <c r="AN59" i="40"/>
  <c r="AM59" i="40"/>
  <c r="AL59" i="40"/>
  <c r="AK59" i="40"/>
  <c r="AJ59" i="40"/>
  <c r="AI59" i="40"/>
  <c r="AH59" i="40"/>
  <c r="AH33" i="40" s="1"/>
  <c r="AG59" i="40"/>
  <c r="AG33" i="40" s="1"/>
  <c r="AF59" i="40"/>
  <c r="AE59" i="40"/>
  <c r="AD59" i="40"/>
  <c r="AC59" i="40"/>
  <c r="AB59" i="40"/>
  <c r="AA59" i="40"/>
  <c r="Z59" i="40"/>
  <c r="Y59" i="40"/>
  <c r="X59" i="40"/>
  <c r="W59" i="40"/>
  <c r="V59" i="40"/>
  <c r="V33" i="40" s="1"/>
  <c r="U59" i="40"/>
  <c r="T59" i="40"/>
  <c r="S59" i="40"/>
  <c r="R59" i="40"/>
  <c r="R33" i="40" s="1"/>
  <c r="Q59" i="40"/>
  <c r="P59" i="40"/>
  <c r="O59" i="40"/>
  <c r="N59" i="40"/>
  <c r="M59" i="40"/>
  <c r="L59" i="40"/>
  <c r="K59" i="40"/>
  <c r="J59" i="40"/>
  <c r="I59" i="40"/>
  <c r="H59" i="40"/>
  <c r="AP53" i="40"/>
  <c r="AO53" i="40"/>
  <c r="AO33" i="40" s="1"/>
  <c r="AN53" i="40"/>
  <c r="AM53" i="40"/>
  <c r="AL53" i="40"/>
  <c r="AK53" i="40"/>
  <c r="AJ53" i="40"/>
  <c r="AI53" i="40"/>
  <c r="AI33" i="40" s="1"/>
  <c r="AH53" i="40"/>
  <c r="AG53" i="40"/>
  <c r="AF53" i="40"/>
  <c r="AE53" i="40"/>
  <c r="AD53" i="40"/>
  <c r="AC53" i="40"/>
  <c r="AB53" i="40"/>
  <c r="AA53" i="40"/>
  <c r="Z53" i="40"/>
  <c r="Y53" i="40"/>
  <c r="Y33" i="40" s="1"/>
  <c r="X53" i="40"/>
  <c r="W53" i="40"/>
  <c r="V53" i="40"/>
  <c r="U53" i="40"/>
  <c r="T53" i="40"/>
  <c r="S53" i="40"/>
  <c r="S33" i="40" s="1"/>
  <c r="R53" i="40"/>
  <c r="Q53" i="40"/>
  <c r="P53" i="40"/>
  <c r="O53" i="40"/>
  <c r="N53" i="40"/>
  <c r="M53" i="40"/>
  <c r="L53" i="40"/>
  <c r="K53" i="40"/>
  <c r="J53" i="40"/>
  <c r="I53" i="40"/>
  <c r="I33" i="40" s="1"/>
  <c r="H53" i="40"/>
  <c r="AP47" i="40"/>
  <c r="AO47" i="40"/>
  <c r="AN47" i="40"/>
  <c r="AM47" i="40"/>
  <c r="AL47" i="40"/>
  <c r="AK47" i="40"/>
  <c r="AJ47" i="40"/>
  <c r="AI47" i="40"/>
  <c r="AH47" i="40"/>
  <c r="AG47" i="40"/>
  <c r="AF47" i="40"/>
  <c r="AE47" i="40"/>
  <c r="AD47" i="40"/>
  <c r="AC47" i="40"/>
  <c r="AB47" i="40"/>
  <c r="AB33" i="40" s="1"/>
  <c r="AA47" i="40"/>
  <c r="Z47" i="40"/>
  <c r="Y47" i="40"/>
  <c r="X47" i="40"/>
  <c r="W47" i="40"/>
  <c r="W33" i="40" s="1"/>
  <c r="V47" i="40"/>
  <c r="U47" i="40"/>
  <c r="T47" i="40"/>
  <c r="S47" i="40"/>
  <c r="R47" i="40"/>
  <c r="Q47" i="40"/>
  <c r="P47" i="40"/>
  <c r="O47" i="40"/>
  <c r="N47" i="40"/>
  <c r="M47" i="40"/>
  <c r="L47" i="40"/>
  <c r="L33" i="40" s="1"/>
  <c r="K47" i="40"/>
  <c r="J47" i="40"/>
  <c r="I47" i="40"/>
  <c r="H47" i="40"/>
  <c r="AP41" i="40"/>
  <c r="AO41" i="40"/>
  <c r="AN41" i="40"/>
  <c r="AM41" i="40"/>
  <c r="AL41" i="40"/>
  <c r="AK41" i="40"/>
  <c r="AK33" i="40" s="1"/>
  <c r="AJ41" i="40"/>
  <c r="AJ33" i="40" s="1"/>
  <c r="AI41" i="40"/>
  <c r="AH41" i="40"/>
  <c r="AG41" i="40"/>
  <c r="AF41" i="40"/>
  <c r="AE41" i="40"/>
  <c r="AE33" i="40" s="1"/>
  <c r="AD41" i="40"/>
  <c r="AD33" i="40" s="1"/>
  <c r="AC41" i="40"/>
  <c r="AC33" i="40" s="1"/>
  <c r="AB41" i="40"/>
  <c r="AA41" i="40"/>
  <c r="Z41" i="40"/>
  <c r="Y41" i="40"/>
  <c r="X41" i="40"/>
  <c r="X33" i="40" s="1"/>
  <c r="W41" i="40"/>
  <c r="V41" i="40"/>
  <c r="U41" i="40"/>
  <c r="U33" i="40" s="1"/>
  <c r="T41" i="40"/>
  <c r="T33" i="40" s="1"/>
  <c r="S41" i="40"/>
  <c r="R41" i="40"/>
  <c r="Q41" i="40"/>
  <c r="P41" i="40"/>
  <c r="O41" i="40"/>
  <c r="O33" i="40" s="1"/>
  <c r="N41" i="40"/>
  <c r="N33" i="40" s="1"/>
  <c r="M41" i="40"/>
  <c r="M33" i="40" s="1"/>
  <c r="L41" i="40"/>
  <c r="K41" i="40"/>
  <c r="J41" i="40"/>
  <c r="I41" i="40"/>
  <c r="H41" i="40"/>
  <c r="H33" i="40" s="1"/>
  <c r="AQ39" i="40"/>
  <c r="AQ38" i="40"/>
  <c r="AQ37" i="40"/>
  <c r="AQ36" i="40"/>
  <c r="AQ35" i="40"/>
  <c r="AQ34" i="40"/>
  <c r="AN33" i="40"/>
  <c r="AL33" i="40"/>
  <c r="AA33" i="40"/>
  <c r="Q33" i="40"/>
  <c r="K33" i="40"/>
  <c r="AP27" i="40"/>
  <c r="H27" i="40"/>
  <c r="AP26" i="40"/>
  <c r="H26" i="40"/>
  <c r="AP25" i="40"/>
  <c r="S25" i="40"/>
  <c r="H25" i="40"/>
  <c r="E22" i="40"/>
  <c r="E7" i="40"/>
  <c r="E6" i="40"/>
  <c r="E5" i="40"/>
  <c r="E4" i="40"/>
  <c r="AP3" i="40"/>
  <c r="AO3" i="40"/>
  <c r="AN3" i="40"/>
  <c r="AM3" i="40"/>
  <c r="AL3" i="40"/>
  <c r="AK3" i="40"/>
  <c r="AJ3" i="40"/>
  <c r="AI3" i="40"/>
  <c r="AH3" i="40"/>
  <c r="AG3" i="40"/>
  <c r="AF3" i="40"/>
  <c r="AE3" i="40"/>
  <c r="AD3" i="40"/>
  <c r="AC3" i="40"/>
  <c r="AB3" i="40"/>
  <c r="AA3" i="40"/>
  <c r="Z3" i="40"/>
  <c r="Y3" i="40"/>
  <c r="X3" i="40"/>
  <c r="W3" i="40"/>
  <c r="V3" i="40"/>
  <c r="U3" i="40"/>
  <c r="T3" i="40"/>
  <c r="S3" i="40"/>
  <c r="R3" i="40"/>
  <c r="Q3" i="40"/>
  <c r="P3" i="40"/>
  <c r="O3" i="40"/>
  <c r="N3" i="40"/>
  <c r="M3" i="40"/>
  <c r="L3" i="40"/>
  <c r="K3" i="40"/>
  <c r="J3" i="40"/>
  <c r="I3" i="40"/>
  <c r="H3" i="40"/>
  <c r="E2" i="40"/>
  <c r="BF63" i="39"/>
  <c r="BF62" i="39"/>
  <c r="BF61" i="39"/>
  <c r="BF60" i="39"/>
  <c r="BF59" i="39"/>
  <c r="BF58" i="39"/>
  <c r="BF57" i="39"/>
  <c r="BF56" i="39"/>
  <c r="BB56" i="39"/>
  <c r="AW56" i="39"/>
  <c r="AU56" i="39"/>
  <c r="Y56" i="39"/>
  <c r="W56" i="39"/>
  <c r="BF52" i="39"/>
  <c r="BF51" i="39"/>
  <c r="J51" i="39"/>
  <c r="BF50" i="39"/>
  <c r="I50" i="39"/>
  <c r="BF49" i="39"/>
  <c r="BF48" i="39"/>
  <c r="BF47" i="39"/>
  <c r="BF46" i="39"/>
  <c r="BC46" i="39"/>
  <c r="AW45" i="39"/>
  <c r="AX45" i="39" s="1"/>
  <c r="AY45" i="39" s="1"/>
  <c r="BA45" i="39" s="1"/>
  <c r="BB45" i="39" s="1"/>
  <c r="BC45" i="39" s="1"/>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U40" i="38"/>
  <c r="V40" i="38" s="1"/>
  <c r="W40" i="38" s="1"/>
  <c r="X40" i="38" s="1"/>
  <c r="Y40" i="38" s="1"/>
  <c r="Z40" i="38" s="1"/>
  <c r="AB40" i="38" s="1"/>
  <c r="AC40" i="38" s="1"/>
  <c r="AD40" i="38" s="1"/>
  <c r="AE40" i="38" s="1"/>
  <c r="AF40" i="38" s="1"/>
  <c r="AG40" i="38" s="1"/>
  <c r="AI40" i="38" s="1"/>
  <c r="AJ40" i="38" s="1"/>
  <c r="AK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K7" i="38"/>
  <c r="S7" i="38" s="1"/>
  <c r="AN6" i="38"/>
  <c r="AN5" i="38"/>
  <c r="S5" i="38"/>
  <c r="I5" i="38"/>
  <c r="J6" i="38" s="1"/>
  <c r="S6" i="38" s="1"/>
  <c r="AN4" i="38"/>
  <c r="AC4" i="38"/>
  <c r="S4" i="38"/>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U40" i="37"/>
  <c r="V40" i="37" s="1"/>
  <c r="W40" i="37" s="1"/>
  <c r="X40" i="37" s="1"/>
  <c r="Y40" i="37" s="1"/>
  <c r="Z40" i="37" s="1"/>
  <c r="AB40" i="37" s="1"/>
  <c r="AC40" i="37" s="1"/>
  <c r="AD40" i="37" s="1"/>
  <c r="AE40" i="37" s="1"/>
  <c r="AF40" i="37" s="1"/>
  <c r="AG40" i="37" s="1"/>
  <c r="AI40" i="37" s="1"/>
  <c r="AJ40" i="37" s="1"/>
  <c r="AK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AN6" i="37"/>
  <c r="AN5" i="37"/>
  <c r="AN4" i="37"/>
  <c r="AC4" i="37"/>
  <c r="S4" i="37"/>
  <c r="I5" i="37" s="1"/>
  <c r="AN3" i="37"/>
  <c r="AC3" i="37"/>
  <c r="S3" i="37"/>
  <c r="AN2" i="37"/>
  <c r="AK2" i="37"/>
  <c r="AC2" i="37"/>
  <c r="S2" i="37"/>
  <c r="AN53" i="36"/>
  <c r="AN52" i="36"/>
  <c r="AN51" i="36"/>
  <c r="AN50" i="36"/>
  <c r="AN49" i="36"/>
  <c r="AN48" i="36"/>
  <c r="AN47" i="36"/>
  <c r="AE47" i="36"/>
  <c r="X47" i="36"/>
  <c r="AN46" i="36"/>
  <c r="AK46" i="36"/>
  <c r="AN45" i="36"/>
  <c r="AN44" i="36"/>
  <c r="AN43" i="36"/>
  <c r="AN42" i="36"/>
  <c r="AN41" i="36"/>
  <c r="AK41" i="36"/>
  <c r="U40" i="36"/>
  <c r="V40" i="36" s="1"/>
  <c r="W40" i="36" s="1"/>
  <c r="X40" i="36" s="1"/>
  <c r="Y40" i="36" s="1"/>
  <c r="Z40" i="36" s="1"/>
  <c r="AB40" i="36" s="1"/>
  <c r="AC40" i="36" s="1"/>
  <c r="AD40" i="36" s="1"/>
  <c r="AE40" i="36" s="1"/>
  <c r="AF40" i="36" s="1"/>
  <c r="AG40" i="36" s="1"/>
  <c r="AI40" i="36" s="1"/>
  <c r="AJ40" i="36" s="1"/>
  <c r="AK40" i="36" s="1"/>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AN4" i="36"/>
  <c r="AC4" i="36"/>
  <c r="S4" i="36"/>
  <c r="I5" i="36" s="1"/>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AN4" i="35"/>
  <c r="AC4" i="35"/>
  <c r="S4" i="35"/>
  <c r="I5" i="35" s="1"/>
  <c r="S5" i="35" s="1"/>
  <c r="AN3" i="35"/>
  <c r="AC3" i="35"/>
  <c r="S3" i="35"/>
  <c r="AN2" i="35"/>
  <c r="AK2" i="35"/>
  <c r="AC2" i="35"/>
  <c r="S2" i="35"/>
  <c r="F8" i="34"/>
  <c r="E8" i="34"/>
  <c r="F7" i="34"/>
  <c r="E7" i="34"/>
  <c r="G28" i="33"/>
  <c r="G27" i="33"/>
  <c r="W26" i="33"/>
  <c r="G26" i="33"/>
  <c r="D23" i="33"/>
  <c r="D14" i="33"/>
  <c r="D13" i="33"/>
  <c r="D11" i="33"/>
  <c r="D10" i="33"/>
  <c r="D9" i="33"/>
  <c r="D7" i="33"/>
  <c r="D6" i="33"/>
  <c r="D4" i="33"/>
  <c r="D3" i="33"/>
  <c r="F21" i="32"/>
  <c r="AN19" i="32"/>
  <c r="AM19" i="32"/>
  <c r="AL19" i="32"/>
  <c r="AK19" i="32"/>
  <c r="AJ19" i="32"/>
  <c r="AI19" i="32"/>
  <c r="AH19" i="32"/>
  <c r="AG19" i="32"/>
  <c r="AF19" i="32"/>
  <c r="AE19" i="32"/>
  <c r="AD19" i="32"/>
  <c r="AC19" i="32"/>
  <c r="AB19" i="32"/>
  <c r="AA19" i="32"/>
  <c r="Z19" i="32"/>
  <c r="Y19" i="32"/>
  <c r="X19" i="32"/>
  <c r="W19" i="32"/>
  <c r="V19" i="32"/>
  <c r="U19" i="32"/>
  <c r="T19" i="32"/>
  <c r="S19" i="32"/>
  <c r="R19" i="32"/>
  <c r="Q19" i="32"/>
  <c r="P19" i="32"/>
  <c r="O19" i="32"/>
  <c r="N19" i="32"/>
  <c r="M19" i="32"/>
  <c r="L19" i="32"/>
  <c r="K19" i="32"/>
  <c r="J19" i="32"/>
  <c r="I19" i="32"/>
  <c r="H19" i="32"/>
  <c r="G19" i="32"/>
  <c r="F19" i="32"/>
  <c r="AO16" i="32"/>
  <c r="AN14" i="32"/>
  <c r="AM14" i="32"/>
  <c r="AL14" i="32"/>
  <c r="AK14" i="32"/>
  <c r="AJ14" i="32"/>
  <c r="AI14" i="32"/>
  <c r="AH14" i="32"/>
  <c r="AG14" i="32"/>
  <c r="AF14" i="32"/>
  <c r="AE14" i="32"/>
  <c r="AD14" i="32"/>
  <c r="AC14" i="32"/>
  <c r="AB14" i="32"/>
  <c r="AA14" i="32"/>
  <c r="Z14" i="32"/>
  <c r="Y14" i="32"/>
  <c r="X14" i="32"/>
  <c r="W14" i="32"/>
  <c r="V14" i="32"/>
  <c r="U14" i="32"/>
  <c r="T14" i="32"/>
  <c r="S14" i="32"/>
  <c r="R14" i="32"/>
  <c r="Q14" i="32"/>
  <c r="P14" i="32"/>
  <c r="O14" i="32"/>
  <c r="N14" i="32"/>
  <c r="M14" i="32"/>
  <c r="L14" i="32"/>
  <c r="K14" i="32"/>
  <c r="J14" i="32"/>
  <c r="I14" i="32"/>
  <c r="H14" i="32"/>
  <c r="G14" i="32"/>
  <c r="K11" i="32"/>
  <c r="G11" i="32"/>
  <c r="G10" i="32"/>
  <c r="G9" i="32"/>
  <c r="D6" i="32"/>
  <c r="F2" i="32"/>
  <c r="BU14" i="31"/>
  <c r="BS14" i="31"/>
  <c r="BQ14" i="31"/>
  <c r="BO14" i="31"/>
  <c r="BM14" i="31"/>
  <c r="BK14" i="31"/>
  <c r="BI14" i="31"/>
  <c r="BG14" i="31"/>
  <c r="BE14" i="31"/>
  <c r="BC14" i="31"/>
  <c r="BA14" i="31"/>
  <c r="AY14" i="31"/>
  <c r="AW14" i="31"/>
  <c r="AU14" i="31"/>
  <c r="AS14" i="31"/>
  <c r="AQ14" i="31"/>
  <c r="AO14" i="31"/>
  <c r="AM14" i="31"/>
  <c r="AK14" i="31"/>
  <c r="AI14" i="31"/>
  <c r="AG14" i="31"/>
  <c r="AE14" i="31"/>
  <c r="AC14" i="31"/>
  <c r="AA14" i="31"/>
  <c r="Y14" i="31"/>
  <c r="W14" i="31"/>
  <c r="U14" i="31"/>
  <c r="S14" i="31"/>
  <c r="Q14" i="31"/>
  <c r="O14" i="31"/>
  <c r="M14" i="31"/>
  <c r="K14" i="31"/>
  <c r="I14" i="31"/>
  <c r="G14" i="31"/>
  <c r="BO11" i="31"/>
  <c r="G11" i="31"/>
  <c r="G10" i="31"/>
  <c r="AG9" i="31"/>
  <c r="G9" i="31"/>
  <c r="D6" i="31"/>
  <c r="E13" i="29"/>
  <c r="H12" i="29"/>
  <c r="E12" i="29"/>
  <c r="E11" i="29"/>
  <c r="E10" i="29"/>
  <c r="D6" i="29"/>
  <c r="E32" i="28"/>
  <c r="E28"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AA23" i="26"/>
  <c r="AA22" i="26"/>
  <c r="O22" i="26"/>
  <c r="L22" i="26"/>
  <c r="F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F23" i="25"/>
  <c r="G24" i="25" s="1"/>
  <c r="AA22" i="25"/>
  <c r="O22" i="25"/>
  <c r="L22" i="25"/>
  <c r="AA21" i="25"/>
  <c r="O21" i="25"/>
  <c r="L21" i="25"/>
  <c r="AA20" i="25"/>
  <c r="O20" i="25"/>
  <c r="L20" i="25"/>
  <c r="AA19" i="25"/>
  <c r="O19" i="25"/>
  <c r="L19" i="25"/>
  <c r="Q18" i="25"/>
  <c r="R18" i="25" s="1"/>
  <c r="S18" i="25" s="1"/>
  <c r="T18" i="25" s="1"/>
  <c r="V18" i="25" s="1"/>
  <c r="W18" i="25" s="1"/>
  <c r="X18" i="25" s="1"/>
  <c r="N18" i="25"/>
  <c r="O18" i="25" s="1"/>
  <c r="O11" i="25"/>
  <c r="O10" i="25"/>
  <c r="O9" i="25"/>
  <c r="O8" i="25"/>
  <c r="L6" i="25"/>
  <c r="AA32" i="24"/>
  <c r="AA31" i="24"/>
  <c r="AA30" i="24"/>
  <c r="AA29" i="24"/>
  <c r="AA28" i="24"/>
  <c r="AA27" i="24"/>
  <c r="AA26" i="24"/>
  <c r="R26" i="24"/>
  <c r="AA25" i="24"/>
  <c r="AA24" i="24"/>
  <c r="AA23" i="24"/>
  <c r="AA22" i="24"/>
  <c r="AA21" i="24"/>
  <c r="AA20" i="24"/>
  <c r="AA19" i="24"/>
  <c r="O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X47" i="23"/>
  <c r="S47" i="23"/>
  <c r="AX46" i="23"/>
  <c r="AX45" i="23"/>
  <c r="AN44" i="23"/>
  <c r="AO44" i="23" s="1"/>
  <c r="AP44" i="23" s="1"/>
  <c r="AQ44" i="23" s="1"/>
  <c r="AS44" i="23" s="1"/>
  <c r="AT44" i="23" s="1"/>
  <c r="AU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J7" i="23"/>
  <c r="AX6" i="23"/>
  <c r="AX5" i="23"/>
  <c r="AB5" i="23"/>
  <c r="S5" i="23"/>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U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AT7" i="22"/>
  <c r="AT6" i="22"/>
  <c r="AT5" i="22"/>
  <c r="AG5" i="22"/>
  <c r="U5" i="22"/>
  <c r="I6" i="22" s="1"/>
  <c r="J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F42" i="21"/>
  <c r="AG42" i="21" s="1"/>
  <c r="AH42" i="21" s="1"/>
  <c r="AI42" i="21" s="1"/>
  <c r="AK42" i="21" s="1"/>
  <c r="AL42" i="21" s="1"/>
  <c r="AM42" i="21" s="1"/>
  <c r="X42" i="21"/>
  <c r="Y42" i="21" s="1"/>
  <c r="Z42" i="21" s="1"/>
  <c r="AA42" i="21" s="1"/>
  <c r="AC42" i="21" s="1"/>
  <c r="AD42" i="21" s="1"/>
  <c r="U42" i="21"/>
  <c r="V42" i="21" s="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K8" i="21" s="1"/>
  <c r="S8"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J48" i="20"/>
  <c r="K49" i="20" s="1"/>
  <c r="S49" i="20" s="1"/>
  <c r="AP47" i="20"/>
  <c r="AP46" i="20"/>
  <c r="AP45" i="20"/>
  <c r="AP44" i="20"/>
  <c r="AP43" i="20"/>
  <c r="AF42" i="20"/>
  <c r="AG42" i="20" s="1"/>
  <c r="AH42" i="20" s="1"/>
  <c r="AI42" i="20" s="1"/>
  <c r="AK42" i="20" s="1"/>
  <c r="AL42" i="20" s="1"/>
  <c r="AM42" i="20" s="1"/>
  <c r="X42" i="20"/>
  <c r="Y42" i="20" s="1"/>
  <c r="Z42" i="20" s="1"/>
  <c r="AA42" i="20" s="1"/>
  <c r="AC42" i="20" s="1"/>
  <c r="AD42" i="20" s="1"/>
  <c r="U42" i="20"/>
  <c r="V42" i="20" s="1"/>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K8" i="20"/>
  <c r="S8" i="20" s="1"/>
  <c r="AP7" i="20"/>
  <c r="AP6" i="20"/>
  <c r="I6" i="20"/>
  <c r="J7" i="20" s="1"/>
  <c r="S7" i="20" s="1"/>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S46" i="19"/>
  <c r="I47" i="19" s="1"/>
  <c r="AP45" i="19"/>
  <c r="AP44" i="19"/>
  <c r="AP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S7" i="19"/>
  <c r="AP6" i="19"/>
  <c r="I6" i="19"/>
  <c r="J7" i="19" s="1"/>
  <c r="K8" i="19" s="1"/>
  <c r="S8" i="19" s="1"/>
  <c r="AP5" i="19"/>
  <c r="AD5" i="19"/>
  <c r="S5" i="19"/>
  <c r="AP4" i="19"/>
  <c r="AD4" i="19"/>
  <c r="S4" i="19"/>
  <c r="AP3" i="19"/>
  <c r="AD3" i="19"/>
  <c r="S3" i="19"/>
  <c r="AP2" i="19"/>
  <c r="AD2" i="19"/>
  <c r="S2" i="19"/>
  <c r="AP57" i="18"/>
  <c r="AP56" i="18"/>
  <c r="AP55" i="18"/>
  <c r="AP54" i="18"/>
  <c r="AP53" i="18"/>
  <c r="AP52" i="18"/>
  <c r="AP51" i="18"/>
  <c r="AP50" i="18"/>
  <c r="AG50" i="18"/>
  <c r="Y50" i="18"/>
  <c r="AP49" i="18"/>
  <c r="AP48" i="18"/>
  <c r="AP47" i="18"/>
  <c r="I47" i="18"/>
  <c r="J48" i="18" s="1"/>
  <c r="AP46" i="18"/>
  <c r="AD46" i="18"/>
  <c r="AP45" i="18"/>
  <c r="AP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J7" i="16"/>
  <c r="S7" i="16" s="1"/>
  <c r="AP6" i="16"/>
  <c r="AP5" i="16"/>
  <c r="AD5" i="16"/>
  <c r="S5" i="16"/>
  <c r="I6" i="16" s="1"/>
  <c r="S6" i="16" s="1"/>
  <c r="AP4" i="16"/>
  <c r="AD4" i="16"/>
  <c r="S4" i="16"/>
  <c r="AP3" i="16"/>
  <c r="AD3" i="16"/>
  <c r="S3" i="16"/>
  <c r="AP2" i="16"/>
  <c r="AD2" i="16"/>
  <c r="S2" i="16"/>
  <c r="G17" i="15"/>
  <c r="E16" i="15"/>
  <c r="G14" i="15"/>
  <c r="E13" i="15"/>
  <c r="E12"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G13" i="14"/>
  <c r="E13" i="14"/>
  <c r="I53" i="13"/>
  <c r="H53" i="13"/>
  <c r="G53" i="13"/>
  <c r="I52" i="13"/>
  <c r="H52" i="13"/>
  <c r="G52" i="13"/>
  <c r="J51" i="13"/>
  <c r="I51" i="13"/>
  <c r="H51" i="13"/>
  <c r="G51" i="13"/>
  <c r="J50" i="13"/>
  <c r="I50" i="13"/>
  <c r="H50" i="13"/>
  <c r="G50" i="13"/>
  <c r="I49" i="13"/>
  <c r="H49" i="13"/>
  <c r="G49" i="13"/>
  <c r="I48" i="13"/>
  <c r="H48" i="13"/>
  <c r="G48" i="13"/>
  <c r="E29" i="13" s="1"/>
  <c r="J47" i="13"/>
  <c r="I47" i="13"/>
  <c r="H47" i="13"/>
  <c r="G47" i="13"/>
  <c r="J46" i="13"/>
  <c r="I46" i="13"/>
  <c r="K45" i="13"/>
  <c r="J45" i="13"/>
  <c r="I45" i="13"/>
  <c r="G36" i="13"/>
  <c r="F36" i="13"/>
  <c r="AA11" i="12" s="1"/>
  <c r="F32" i="13"/>
  <c r="E32" i="13"/>
  <c r="F29" i="13"/>
  <c r="M148" i="12"/>
  <c r="K101" i="12"/>
  <c r="N101" i="12" s="1"/>
  <c r="J101" i="12"/>
  <c r="M101" i="12" s="1"/>
  <c r="F1996" i="40" s="1"/>
  <c r="I101" i="12"/>
  <c r="L101" i="12" s="1"/>
  <c r="E1996" i="40" s="1"/>
  <c r="N100" i="12"/>
  <c r="L100" i="12"/>
  <c r="E1995" i="40" s="1"/>
  <c r="K100" i="12"/>
  <c r="J100" i="12"/>
  <c r="M100" i="12" s="1"/>
  <c r="F1995" i="40" s="1"/>
  <c r="I100" i="12"/>
  <c r="K99" i="12"/>
  <c r="N99" i="12" s="1"/>
  <c r="J99" i="12"/>
  <c r="M99" i="12" s="1"/>
  <c r="F1994" i="40" s="1"/>
  <c r="I99" i="12"/>
  <c r="L99" i="12" s="1"/>
  <c r="E1994" i="40" s="1"/>
  <c r="K98" i="12"/>
  <c r="N98" i="12" s="1"/>
  <c r="J98" i="12"/>
  <c r="M98" i="12" s="1"/>
  <c r="F1993" i="40" s="1"/>
  <c r="I98" i="12"/>
  <c r="L98" i="12" s="1"/>
  <c r="E1993" i="40" s="1"/>
  <c r="M97" i="12"/>
  <c r="F1992" i="40" s="1"/>
  <c r="L97" i="12"/>
  <c r="E1992" i="40" s="1"/>
  <c r="K97" i="12"/>
  <c r="N97" i="12" s="1"/>
  <c r="J97" i="12"/>
  <c r="I97" i="12"/>
  <c r="M96" i="12"/>
  <c r="F1384" i="40" s="1"/>
  <c r="L96" i="12"/>
  <c r="E1384" i="40" s="1"/>
  <c r="E1831" i="40" s="1"/>
  <c r="K96" i="12"/>
  <c r="N96" i="12" s="1"/>
  <c r="J96" i="12"/>
  <c r="I96" i="12"/>
  <c r="L95" i="12"/>
  <c r="E776" i="40" s="1"/>
  <c r="E897" i="40" s="1"/>
  <c r="K95" i="12"/>
  <c r="N95" i="12" s="1"/>
  <c r="J95" i="12"/>
  <c r="M95" i="12" s="1"/>
  <c r="F776" i="40" s="1"/>
  <c r="I95" i="12"/>
  <c r="N94" i="12"/>
  <c r="M94" i="12"/>
  <c r="F773" i="40" s="1"/>
  <c r="L94" i="12"/>
  <c r="E773" i="40" s="1"/>
  <c r="E774" i="40" s="1"/>
  <c r="K94" i="12"/>
  <c r="J94" i="12"/>
  <c r="I94" i="12"/>
  <c r="N93" i="12"/>
  <c r="M93" i="12"/>
  <c r="F772" i="40" s="1"/>
  <c r="K93" i="12"/>
  <c r="J93" i="12"/>
  <c r="I93" i="12"/>
  <c r="L93" i="12" s="1"/>
  <c r="E772" i="40" s="1"/>
  <c r="N92" i="12"/>
  <c r="L92" i="12"/>
  <c r="E771" i="40" s="1"/>
  <c r="K92" i="12"/>
  <c r="J92" i="12"/>
  <c r="M92" i="12" s="1"/>
  <c r="F771" i="40" s="1"/>
  <c r="I92" i="12"/>
  <c r="K91" i="12"/>
  <c r="N91" i="12" s="1"/>
  <c r="J91" i="12"/>
  <c r="M91" i="12" s="1"/>
  <c r="F770" i="40" s="1"/>
  <c r="I91" i="12"/>
  <c r="L91" i="12" s="1"/>
  <c r="E770" i="40" s="1"/>
  <c r="N90" i="12"/>
  <c r="M90" i="12"/>
  <c r="F769" i="40" s="1"/>
  <c r="K90" i="12"/>
  <c r="J90" i="12"/>
  <c r="I90" i="12"/>
  <c r="L90" i="12" s="1"/>
  <c r="E769" i="40" s="1"/>
  <c r="N89" i="12"/>
  <c r="L89" i="12"/>
  <c r="E768" i="40" s="1"/>
  <c r="K89" i="12"/>
  <c r="J89" i="12"/>
  <c r="M89" i="12" s="1"/>
  <c r="F768" i="40" s="1"/>
  <c r="I89" i="12"/>
  <c r="M88" i="12"/>
  <c r="F767" i="40" s="1"/>
  <c r="L88" i="12"/>
  <c r="E767" i="40" s="1"/>
  <c r="K88" i="12"/>
  <c r="N88" i="12" s="1"/>
  <c r="J88" i="12"/>
  <c r="I88" i="12"/>
  <c r="N87" i="12"/>
  <c r="K87" i="12"/>
  <c r="J87" i="12"/>
  <c r="M87" i="12" s="1"/>
  <c r="F766" i="40" s="1"/>
  <c r="I87" i="12"/>
  <c r="L87" i="12" s="1"/>
  <c r="E766" i="40" s="1"/>
  <c r="N86" i="12"/>
  <c r="M86" i="12"/>
  <c r="F765" i="40" s="1"/>
  <c r="K86" i="12"/>
  <c r="J86" i="12"/>
  <c r="I86" i="12"/>
  <c r="L86" i="12" s="1"/>
  <c r="E765" i="40" s="1"/>
  <c r="N85" i="12"/>
  <c r="M85" i="12"/>
  <c r="F764" i="40" s="1"/>
  <c r="L85" i="12"/>
  <c r="E764" i="40" s="1"/>
  <c r="K85" i="12"/>
  <c r="J85" i="12"/>
  <c r="I85" i="12"/>
  <c r="K84" i="12"/>
  <c r="N84" i="12" s="1"/>
  <c r="J84" i="12"/>
  <c r="M84" i="12" s="1"/>
  <c r="F763" i="40" s="1"/>
  <c r="I84" i="12"/>
  <c r="L84" i="12" s="1"/>
  <c r="E763" i="40" s="1"/>
  <c r="K83" i="12"/>
  <c r="N83" i="12" s="1"/>
  <c r="J83" i="12"/>
  <c r="M83" i="12" s="1"/>
  <c r="F762" i="40" s="1"/>
  <c r="I83" i="12"/>
  <c r="L83" i="12" s="1"/>
  <c r="E762" i="40" s="1"/>
  <c r="N82" i="12"/>
  <c r="M82" i="12"/>
  <c r="F761" i="40" s="1"/>
  <c r="L82" i="12"/>
  <c r="E761" i="40" s="1"/>
  <c r="K82" i="12"/>
  <c r="J82" i="12"/>
  <c r="I82" i="12"/>
  <c r="L81" i="12"/>
  <c r="E760" i="40" s="1"/>
  <c r="K81" i="12"/>
  <c r="N81" i="12" s="1"/>
  <c r="J81" i="12"/>
  <c r="M81" i="12" s="1"/>
  <c r="F760" i="40" s="1"/>
  <c r="I81" i="12"/>
  <c r="L80" i="12"/>
  <c r="E759" i="40" s="1"/>
  <c r="K80" i="12"/>
  <c r="N80" i="12" s="1"/>
  <c r="J80" i="12"/>
  <c r="M80" i="12" s="1"/>
  <c r="F759" i="40" s="1"/>
  <c r="I80" i="12"/>
  <c r="N79" i="12"/>
  <c r="M79" i="12"/>
  <c r="F758" i="40" s="1"/>
  <c r="L79" i="12"/>
  <c r="E758" i="40" s="1"/>
  <c r="K79" i="12"/>
  <c r="J79" i="12"/>
  <c r="I79" i="12"/>
  <c r="N78" i="12"/>
  <c r="M78" i="12"/>
  <c r="F154" i="40" s="1"/>
  <c r="L78" i="12"/>
  <c r="E154" i="40" s="1"/>
  <c r="E705" i="40" s="1"/>
  <c r="K78" i="12"/>
  <c r="J78" i="12"/>
  <c r="I78" i="12"/>
  <c r="N77" i="12"/>
  <c r="L77" i="12"/>
  <c r="E153" i="40" s="1"/>
  <c r="K77" i="12"/>
  <c r="J77" i="12"/>
  <c r="M77" i="12" s="1"/>
  <c r="F153" i="40" s="1"/>
  <c r="I77" i="12"/>
  <c r="N76" i="12"/>
  <c r="M76" i="12"/>
  <c r="F152" i="40" s="1"/>
  <c r="K76" i="12"/>
  <c r="J76" i="12"/>
  <c r="I76" i="12"/>
  <c r="L76" i="12" s="1"/>
  <c r="E152" i="40" s="1"/>
  <c r="K75" i="12"/>
  <c r="N75" i="12" s="1"/>
  <c r="J75" i="12"/>
  <c r="M75" i="12" s="1"/>
  <c r="F151" i="40" s="1"/>
  <c r="I75" i="12"/>
  <c r="L75" i="12" s="1"/>
  <c r="E151" i="40" s="1"/>
  <c r="N74" i="12"/>
  <c r="L74" i="12"/>
  <c r="E150" i="40" s="1"/>
  <c r="K74" i="12"/>
  <c r="J74" i="12"/>
  <c r="M74" i="12" s="1"/>
  <c r="F150" i="40" s="1"/>
  <c r="I74" i="12"/>
  <c r="N73" i="12"/>
  <c r="M73" i="12"/>
  <c r="F149" i="40" s="1"/>
  <c r="L73" i="12"/>
  <c r="E149" i="40" s="1"/>
  <c r="K73" i="12"/>
  <c r="J73" i="12"/>
  <c r="I73" i="12"/>
  <c r="M72" i="12"/>
  <c r="F148" i="40" s="1"/>
  <c r="K72" i="12"/>
  <c r="N72" i="12" s="1"/>
  <c r="J72" i="12"/>
  <c r="I72" i="12"/>
  <c r="L72" i="12" s="1"/>
  <c r="E148" i="40" s="1"/>
  <c r="M71" i="12"/>
  <c r="F147" i="40" s="1"/>
  <c r="L71" i="12"/>
  <c r="E147" i="40" s="1"/>
  <c r="K71" i="12"/>
  <c r="N71" i="12" s="1"/>
  <c r="J71" i="12"/>
  <c r="I71" i="12"/>
  <c r="N70" i="12"/>
  <c r="M70" i="12"/>
  <c r="F146" i="40" s="1"/>
  <c r="K70" i="12"/>
  <c r="J70" i="12"/>
  <c r="I70" i="12"/>
  <c r="L70" i="12" s="1"/>
  <c r="E146" i="40" s="1"/>
  <c r="M69" i="12"/>
  <c r="F145" i="40" s="1"/>
  <c r="K69" i="12"/>
  <c r="N69" i="12" s="1"/>
  <c r="J69" i="12"/>
  <c r="I69" i="12"/>
  <c r="L69" i="12" s="1"/>
  <c r="E145" i="40" s="1"/>
  <c r="N68" i="12"/>
  <c r="M68" i="12"/>
  <c r="F144" i="40" s="1"/>
  <c r="L68" i="12"/>
  <c r="E144" i="40" s="1"/>
  <c r="K68" i="12"/>
  <c r="J68" i="12"/>
  <c r="I68" i="12"/>
  <c r="N67" i="12"/>
  <c r="K67" i="12"/>
  <c r="J67" i="12"/>
  <c r="M67" i="12" s="1"/>
  <c r="F143" i="40" s="1"/>
  <c r="I67" i="12"/>
  <c r="L67" i="12" s="1"/>
  <c r="E143" i="40" s="1"/>
  <c r="M66" i="12"/>
  <c r="F142" i="40" s="1"/>
  <c r="K66" i="12"/>
  <c r="N66" i="12" s="1"/>
  <c r="J66" i="12"/>
  <c r="I66" i="12"/>
  <c r="L66" i="12" s="1"/>
  <c r="E142" i="40" s="1"/>
  <c r="N65" i="12"/>
  <c r="M65" i="12"/>
  <c r="F141" i="40" s="1"/>
  <c r="L65" i="12"/>
  <c r="E141" i="40" s="1"/>
  <c r="K65" i="12"/>
  <c r="J65" i="12"/>
  <c r="I65" i="12"/>
  <c r="K64" i="12"/>
  <c r="N64" i="12" s="1"/>
  <c r="J64" i="12"/>
  <c r="M64" i="12" s="1"/>
  <c r="F140" i="40" s="1"/>
  <c r="I64" i="12"/>
  <c r="L64" i="12" s="1"/>
  <c r="E140" i="40" s="1"/>
  <c r="N63" i="12"/>
  <c r="L63" i="12"/>
  <c r="E139" i="40" s="1"/>
  <c r="K63" i="12"/>
  <c r="J63" i="12"/>
  <c r="M63" i="12" s="1"/>
  <c r="F139" i="40" s="1"/>
  <c r="I63" i="12"/>
  <c r="N62" i="12"/>
  <c r="M62" i="12"/>
  <c r="F138" i="40" s="1"/>
  <c r="L62" i="12"/>
  <c r="E138" i="40" s="1"/>
  <c r="K62" i="12"/>
  <c r="J62" i="12"/>
  <c r="I62" i="12"/>
  <c r="L61" i="12"/>
  <c r="E137" i="40" s="1"/>
  <c r="K61" i="12"/>
  <c r="N61" i="12" s="1"/>
  <c r="J61" i="12"/>
  <c r="M61" i="12" s="1"/>
  <c r="F137" i="40" s="1"/>
  <c r="I61" i="12"/>
  <c r="N60" i="12"/>
  <c r="L60" i="12"/>
  <c r="E136" i="40" s="1"/>
  <c r="K60" i="12"/>
  <c r="J60" i="12"/>
  <c r="M60" i="12" s="1"/>
  <c r="F136" i="40" s="1"/>
  <c r="I60" i="12"/>
  <c r="K59" i="12"/>
  <c r="N59" i="12" s="1"/>
  <c r="J59" i="12"/>
  <c r="M59" i="12" s="1"/>
  <c r="F135" i="40" s="1"/>
  <c r="I59" i="12"/>
  <c r="L59" i="12" s="1"/>
  <c r="E135" i="40" s="1"/>
  <c r="L58" i="12"/>
  <c r="E134" i="40" s="1"/>
  <c r="K58" i="12"/>
  <c r="N58" i="12" s="1"/>
  <c r="J58" i="12"/>
  <c r="M58" i="12" s="1"/>
  <c r="F134" i="40" s="1"/>
  <c r="I58" i="12"/>
  <c r="N57" i="12"/>
  <c r="L57" i="12"/>
  <c r="E133" i="40" s="1"/>
  <c r="K57" i="12"/>
  <c r="J57" i="12"/>
  <c r="M57" i="12" s="1"/>
  <c r="F133" i="40" s="1"/>
  <c r="I57" i="12"/>
  <c r="M56" i="12"/>
  <c r="F132" i="40" s="1"/>
  <c r="L56" i="12"/>
  <c r="E132" i="40" s="1"/>
  <c r="K56" i="12"/>
  <c r="N56" i="12" s="1"/>
  <c r="J56" i="12"/>
  <c r="I56" i="12"/>
  <c r="M55" i="12"/>
  <c r="F131" i="40" s="1"/>
  <c r="K55" i="12"/>
  <c r="N55" i="12" s="1"/>
  <c r="J55" i="12"/>
  <c r="I55" i="12"/>
  <c r="L55" i="12" s="1"/>
  <c r="E131" i="40" s="1"/>
  <c r="N54" i="12"/>
  <c r="M54" i="12"/>
  <c r="F130" i="40" s="1"/>
  <c r="L54" i="12"/>
  <c r="E130" i="40" s="1"/>
  <c r="K54" i="12"/>
  <c r="J54" i="12"/>
  <c r="I54" i="12"/>
  <c r="N53" i="12"/>
  <c r="K53" i="12"/>
  <c r="J53" i="12"/>
  <c r="M53" i="12" s="1"/>
  <c r="F129" i="40" s="1"/>
  <c r="I53" i="12"/>
  <c r="L53" i="12" s="1"/>
  <c r="E129" i="40" s="1"/>
  <c r="M52" i="12"/>
  <c r="F128" i="40" s="1"/>
  <c r="K52" i="12"/>
  <c r="N52" i="12" s="1"/>
  <c r="J52" i="12"/>
  <c r="I52" i="12"/>
  <c r="L52" i="12" s="1"/>
  <c r="E128" i="40" s="1"/>
  <c r="N51" i="12"/>
  <c r="K51" i="12"/>
  <c r="J51" i="12"/>
  <c r="M51" i="12" s="1"/>
  <c r="F127" i="40" s="1"/>
  <c r="I51" i="12"/>
  <c r="L51" i="12" s="1"/>
  <c r="E127" i="40" s="1"/>
  <c r="N50" i="12"/>
  <c r="K50" i="12"/>
  <c r="J50" i="12"/>
  <c r="M50" i="12" s="1"/>
  <c r="F111" i="40" s="1"/>
  <c r="I50" i="12"/>
  <c r="L50" i="12" s="1"/>
  <c r="E111" i="40" s="1"/>
  <c r="M49" i="12"/>
  <c r="F110" i="40" s="1"/>
  <c r="L49" i="12"/>
  <c r="E110" i="40" s="1"/>
  <c r="AQ110" i="40" s="1"/>
  <c r="K49" i="12"/>
  <c r="N49" i="12" s="1"/>
  <c r="J49" i="12"/>
  <c r="I49" i="12"/>
  <c r="M48" i="12"/>
  <c r="F109" i="40" s="1"/>
  <c r="L48" i="12"/>
  <c r="E109" i="40" s="1"/>
  <c r="AQ109" i="40" s="1"/>
  <c r="K48" i="12"/>
  <c r="N48" i="12" s="1"/>
  <c r="J48" i="12"/>
  <c r="I48" i="12"/>
  <c r="K47" i="12"/>
  <c r="N47" i="12" s="1"/>
  <c r="J47" i="12"/>
  <c r="M47" i="12" s="1"/>
  <c r="F108" i="40" s="1"/>
  <c r="I47" i="12"/>
  <c r="L47" i="12" s="1"/>
  <c r="E108" i="40" s="1"/>
  <c r="AQ108" i="40" s="1"/>
  <c r="N46" i="12"/>
  <c r="M46" i="12"/>
  <c r="F107" i="40" s="1"/>
  <c r="K46" i="12"/>
  <c r="J46" i="12"/>
  <c r="I46" i="12"/>
  <c r="L46" i="12" s="1"/>
  <c r="E107" i="40" s="1"/>
  <c r="AQ107" i="40" s="1"/>
  <c r="N45" i="12"/>
  <c r="M45" i="12"/>
  <c r="F106" i="40" s="1"/>
  <c r="L45" i="12"/>
  <c r="E106" i="40" s="1"/>
  <c r="AQ106" i="40" s="1"/>
  <c r="K45" i="12"/>
  <c r="J45" i="12"/>
  <c r="I45" i="12"/>
  <c r="L44" i="12"/>
  <c r="E105" i="40" s="1"/>
  <c r="AQ105" i="40" s="1"/>
  <c r="K44" i="12"/>
  <c r="N44" i="12" s="1"/>
  <c r="J44" i="12"/>
  <c r="M44" i="12" s="1"/>
  <c r="F105" i="40" s="1"/>
  <c r="I44" i="12"/>
  <c r="N43" i="12"/>
  <c r="K43" i="12"/>
  <c r="J43" i="12"/>
  <c r="M43" i="12" s="1"/>
  <c r="F104" i="40" s="1"/>
  <c r="I43" i="12"/>
  <c r="L43" i="12" s="1"/>
  <c r="E104" i="40" s="1"/>
  <c r="AQ104" i="40" s="1"/>
  <c r="N42" i="12"/>
  <c r="M42" i="12"/>
  <c r="F103" i="40" s="1"/>
  <c r="L42" i="12"/>
  <c r="E103" i="40" s="1"/>
  <c r="AQ103" i="40" s="1"/>
  <c r="K42" i="12"/>
  <c r="J42" i="12"/>
  <c r="I42" i="12"/>
  <c r="L41" i="12"/>
  <c r="E102" i="40" s="1"/>
  <c r="AQ102" i="40" s="1"/>
  <c r="K41" i="12"/>
  <c r="N41" i="12" s="1"/>
  <c r="J41" i="12"/>
  <c r="M41" i="12" s="1"/>
  <c r="F102" i="40" s="1"/>
  <c r="I41" i="12"/>
  <c r="K40" i="12"/>
  <c r="N40" i="12" s="1"/>
  <c r="J40" i="12"/>
  <c r="M40" i="12" s="1"/>
  <c r="F101" i="40" s="1"/>
  <c r="I40" i="12"/>
  <c r="L40" i="12" s="1"/>
  <c r="E101" i="40" s="1"/>
  <c r="AQ101" i="40" s="1"/>
  <c r="N39" i="12"/>
  <c r="M39" i="12"/>
  <c r="F100" i="40" s="1"/>
  <c r="L39" i="12"/>
  <c r="E100" i="40" s="1"/>
  <c r="AQ100" i="40" s="1"/>
  <c r="K39" i="12"/>
  <c r="J39" i="12"/>
  <c r="I39" i="12"/>
  <c r="M38" i="12"/>
  <c r="F99" i="40" s="1"/>
  <c r="K38" i="12"/>
  <c r="N38" i="12" s="1"/>
  <c r="J38" i="12"/>
  <c r="I38" i="12"/>
  <c r="L38" i="12" s="1"/>
  <c r="E99" i="40" s="1"/>
  <c r="AQ99" i="40" s="1"/>
  <c r="M37" i="12"/>
  <c r="F98" i="40" s="1"/>
  <c r="L37" i="12"/>
  <c r="E98" i="40" s="1"/>
  <c r="AQ98" i="40" s="1"/>
  <c r="K37" i="12"/>
  <c r="N37" i="12" s="1"/>
  <c r="J37" i="12"/>
  <c r="I37" i="12"/>
  <c r="N36" i="12"/>
  <c r="K36" i="12"/>
  <c r="J36" i="12"/>
  <c r="M36" i="12" s="1"/>
  <c r="F97" i="40" s="1"/>
  <c r="I36" i="12"/>
  <c r="L36" i="12" s="1"/>
  <c r="E97" i="40" s="1"/>
  <c r="AQ97" i="40" s="1"/>
  <c r="M35" i="12"/>
  <c r="F96" i="40" s="1"/>
  <c r="K35" i="12"/>
  <c r="N35" i="12" s="1"/>
  <c r="J35" i="12"/>
  <c r="I35" i="12"/>
  <c r="L35" i="12" s="1"/>
  <c r="E96" i="40" s="1"/>
  <c r="AQ96" i="40" s="1"/>
  <c r="N34" i="12"/>
  <c r="M34" i="12"/>
  <c r="F95" i="40" s="1"/>
  <c r="L34" i="12"/>
  <c r="E95" i="40" s="1"/>
  <c r="AQ95" i="40" s="1"/>
  <c r="K34" i="12"/>
  <c r="J34" i="12"/>
  <c r="I34" i="12"/>
  <c r="K33" i="12"/>
  <c r="N33" i="12" s="1"/>
  <c r="J33" i="12"/>
  <c r="M33" i="12" s="1"/>
  <c r="F94" i="40" s="1"/>
  <c r="I33" i="12"/>
  <c r="L33" i="12" s="1"/>
  <c r="E94" i="40" s="1"/>
  <c r="AQ94" i="40" s="1"/>
  <c r="K32" i="12"/>
  <c r="N32" i="12" s="1"/>
  <c r="J32" i="12"/>
  <c r="M32" i="12" s="1"/>
  <c r="F93" i="40" s="1"/>
  <c r="I32" i="12"/>
  <c r="L32" i="12" s="1"/>
  <c r="E93" i="40" s="1"/>
  <c r="AQ93" i="40" s="1"/>
  <c r="N31" i="12"/>
  <c r="M31" i="12"/>
  <c r="F92" i="40" s="1"/>
  <c r="L31" i="12"/>
  <c r="E92" i="40" s="1"/>
  <c r="AQ92" i="40" s="1"/>
  <c r="K31" i="12"/>
  <c r="J31" i="12"/>
  <c r="I31" i="12"/>
  <c r="M30" i="12"/>
  <c r="F91" i="40" s="1"/>
  <c r="K30" i="12"/>
  <c r="N30" i="12" s="1"/>
  <c r="J30" i="12"/>
  <c r="I30" i="12"/>
  <c r="L30" i="12" s="1"/>
  <c r="E91" i="40" s="1"/>
  <c r="AQ91" i="40" s="1"/>
  <c r="M29" i="12"/>
  <c r="F90" i="40" s="1"/>
  <c r="L29" i="12"/>
  <c r="E90" i="40" s="1"/>
  <c r="AQ90" i="40" s="1"/>
  <c r="K29" i="12"/>
  <c r="N29" i="12" s="1"/>
  <c r="J29" i="12"/>
  <c r="I29" i="12"/>
  <c r="N28" i="12"/>
  <c r="K28" i="12"/>
  <c r="J28" i="12"/>
  <c r="M28" i="12" s="1"/>
  <c r="F89" i="40" s="1"/>
  <c r="I28" i="12"/>
  <c r="L28" i="12" s="1"/>
  <c r="E89" i="40" s="1"/>
  <c r="AQ89" i="40" s="1"/>
  <c r="M27" i="12"/>
  <c r="F88" i="40" s="1"/>
  <c r="K27" i="12"/>
  <c r="N27" i="12" s="1"/>
  <c r="J27" i="12"/>
  <c r="I27" i="12"/>
  <c r="L27" i="12" s="1"/>
  <c r="E88" i="40" s="1"/>
  <c r="AQ88" i="40" s="1"/>
  <c r="N26" i="12"/>
  <c r="M26" i="12"/>
  <c r="F87" i="40" s="1"/>
  <c r="L26" i="12"/>
  <c r="E87" i="40" s="1"/>
  <c r="AQ87" i="40" s="1"/>
  <c r="K26" i="12"/>
  <c r="J26" i="12"/>
  <c r="I26" i="12"/>
  <c r="K25" i="12"/>
  <c r="N25" i="12" s="1"/>
  <c r="J25" i="12"/>
  <c r="M25" i="12" s="1"/>
  <c r="F86" i="40" s="1"/>
  <c r="I25" i="12"/>
  <c r="L25" i="12" s="1"/>
  <c r="E86" i="40" s="1"/>
  <c r="AQ86" i="40" s="1"/>
  <c r="K24" i="12"/>
  <c r="N24" i="12" s="1"/>
  <c r="J24" i="12"/>
  <c r="M24" i="12" s="1"/>
  <c r="F85" i="40" s="1"/>
  <c r="I24" i="12"/>
  <c r="L24" i="12" s="1"/>
  <c r="E85" i="40" s="1"/>
  <c r="AQ85" i="40" s="1"/>
  <c r="N23" i="12"/>
  <c r="M23" i="12"/>
  <c r="F84" i="40" s="1"/>
  <c r="L23" i="12"/>
  <c r="E84" i="40" s="1"/>
  <c r="AQ84" i="40" s="1"/>
  <c r="K23" i="12"/>
  <c r="J23" i="12"/>
  <c r="I23" i="12"/>
  <c r="M22" i="12"/>
  <c r="F83" i="40" s="1"/>
  <c r="K22" i="12"/>
  <c r="N22" i="12" s="1"/>
  <c r="J22" i="12"/>
  <c r="I22" i="12"/>
  <c r="L22" i="12" s="1"/>
  <c r="E83" i="40" s="1"/>
  <c r="AQ83" i="40" s="1"/>
  <c r="M21" i="12"/>
  <c r="F33" i="40" s="1"/>
  <c r="L21" i="12"/>
  <c r="E33" i="40" s="1"/>
  <c r="K21" i="12"/>
  <c r="N21" i="12" s="1"/>
  <c r="J21" i="12"/>
  <c r="I21" i="12"/>
  <c r="N20" i="12"/>
  <c r="K20" i="12"/>
  <c r="J20" i="12"/>
  <c r="M20" i="12" s="1"/>
  <c r="F32" i="40" s="1"/>
  <c r="I20" i="12"/>
  <c r="L20" i="12" s="1"/>
  <c r="E32" i="40" s="1"/>
  <c r="AQ32" i="40" s="1"/>
  <c r="M19" i="12"/>
  <c r="F31" i="40" s="1"/>
  <c r="K19" i="12"/>
  <c r="N19" i="12" s="1"/>
  <c r="J19" i="12"/>
  <c r="I19" i="12"/>
  <c r="L19" i="12" s="1"/>
  <c r="E31" i="40" s="1"/>
  <c r="N18" i="12"/>
  <c r="M18" i="12"/>
  <c r="F30" i="40" s="1"/>
  <c r="L18" i="12"/>
  <c r="E30" i="40" s="1"/>
  <c r="K18" i="12"/>
  <c r="J18" i="12"/>
  <c r="I18" i="12"/>
  <c r="N16" i="12"/>
  <c r="AO21" i="32" s="1"/>
  <c r="AA15" i="12"/>
  <c r="U15" i="12"/>
  <c r="N15" i="12"/>
  <c r="AO19" i="32" s="1"/>
  <c r="M15" i="12"/>
  <c r="E19" i="32" s="1"/>
  <c r="U14" i="12"/>
  <c r="N14" i="12"/>
  <c r="AO18" i="32" s="1"/>
  <c r="M14" i="12"/>
  <c r="E18" i="32" s="1"/>
  <c r="AA13" i="12"/>
  <c r="N13" i="12"/>
  <c r="AO17" i="32" s="1"/>
  <c r="M13" i="12"/>
  <c r="E17" i="32" s="1"/>
  <c r="AA12" i="12"/>
  <c r="N12" i="12"/>
  <c r="M12" i="12"/>
  <c r="E16" i="32" s="1"/>
  <c r="N11" i="12"/>
  <c r="AO15" i="32" s="1"/>
  <c r="M11" i="12"/>
  <c r="E15" i="32" s="1"/>
  <c r="N3" i="12"/>
  <c r="D53" i="7" s="1"/>
  <c r="C34" i="11"/>
  <c r="E30" i="11"/>
  <c r="C30" i="11"/>
  <c r="D14" i="28" s="1"/>
  <c r="E29" i="11"/>
  <c r="C29" i="11"/>
  <c r="D5" i="29" s="1"/>
  <c r="C8" i="11"/>
  <c r="D3" i="44" s="1"/>
  <c r="C7" i="11"/>
  <c r="E5" i="41" s="1"/>
  <c r="E6" i="11"/>
  <c r="C6" i="11"/>
  <c r="E21" i="40" s="1"/>
  <c r="E5" i="11"/>
  <c r="C5" i="11"/>
  <c r="D5" i="15" s="1"/>
  <c r="E4" i="11"/>
  <c r="C4" i="11"/>
  <c r="C3" i="11"/>
  <c r="D5" i="32" s="1"/>
  <c r="C2" i="11"/>
  <c r="G15" i="10"/>
  <c r="E5" i="10"/>
  <c r="E11" i="9"/>
  <c r="D7" i="9"/>
  <c r="F13" i="8"/>
  <c r="E13" i="8"/>
  <c r="F8" i="8"/>
  <c r="E8" i="8"/>
  <c r="D5" i="8"/>
  <c r="D4" i="8"/>
  <c r="D52" i="7"/>
  <c r="G50" i="7"/>
  <c r="E45" i="7"/>
  <c r="G44" i="7"/>
  <c r="E43" i="7"/>
  <c r="G42" i="7"/>
  <c r="E42" i="7"/>
  <c r="G38" i="7"/>
  <c r="E38" i="7"/>
  <c r="E37" i="7"/>
  <c r="E36" i="7"/>
  <c r="D36" i="7"/>
  <c r="D37" i="7" s="1"/>
  <c r="D38" i="7" s="1"/>
  <c r="G35" i="7"/>
  <c r="E35" i="7"/>
  <c r="D35" i="7"/>
  <c r="G34" i="7"/>
  <c r="E34" i="7"/>
  <c r="D34" i="7"/>
  <c r="G33" i="7"/>
  <c r="E33" i="7"/>
  <c r="D33" i="7"/>
  <c r="E32" i="7"/>
  <c r="D32" i="7"/>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K90" i="5"/>
  <c r="AJ90" i="5"/>
  <c r="AI90" i="5"/>
  <c r="AH90" i="5"/>
  <c r="AQ84" i="5"/>
  <c r="AP84" i="5"/>
  <c r="S48" i="39" s="1"/>
  <c r="K52" i="39" s="1"/>
  <c r="S52" i="39" s="1"/>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AO74" i="5"/>
  <c r="S42" i="37" s="1"/>
  <c r="AN74" i="5"/>
  <c r="S41" i="37" s="1"/>
  <c r="AM74" i="5"/>
  <c r="AL74" i="5"/>
  <c r="AC43" i="37" s="1"/>
  <c r="AK74" i="5"/>
  <c r="AC42" i="37" s="1"/>
  <c r="AJ74" i="5"/>
  <c r="AC41" i="37" s="1"/>
  <c r="AI74" i="5"/>
  <c r="AH74" i="5"/>
  <c r="AQ69" i="5"/>
  <c r="AP69" i="5"/>
  <c r="S43" i="36" s="1"/>
  <c r="I44" i="36" s="1"/>
  <c r="J45"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K51" i="23" s="1"/>
  <c r="S51" i="23" s="1"/>
  <c r="AP48" i="5"/>
  <c r="AO48" i="5"/>
  <c r="S46" i="23" s="1"/>
  <c r="AN48" i="5"/>
  <c r="S45" i="23" s="1"/>
  <c r="AM48" i="5"/>
  <c r="AB48" i="23" s="1"/>
  <c r="AL48" i="5"/>
  <c r="AB47" i="23" s="1"/>
  <c r="AK48" i="5"/>
  <c r="AB46" i="23" s="1"/>
  <c r="AJ48" i="5"/>
  <c r="AB45" i="23" s="1"/>
  <c r="AI48" i="5"/>
  <c r="AH48" i="5"/>
  <c r="AQ43" i="5"/>
  <c r="S46" i="18" s="1"/>
  <c r="AP43" i="5"/>
  <c r="S45" i="18" s="1"/>
  <c r="AO43" i="5"/>
  <c r="S44" i="18" s="1"/>
  <c r="AN43" i="5"/>
  <c r="S43" i="18" s="1"/>
  <c r="AM43" i="5"/>
  <c r="AL43" i="5"/>
  <c r="AD45" i="18" s="1"/>
  <c r="AK43" i="5"/>
  <c r="AD44" i="18" s="1"/>
  <c r="AJ43" i="5"/>
  <c r="AD43" i="18" s="1"/>
  <c r="AI43" i="5"/>
  <c r="AH43" i="5"/>
  <c r="AQ41" i="5"/>
  <c r="AP41" i="5"/>
  <c r="AO41" i="5"/>
  <c r="AN41" i="5"/>
  <c r="AM41" i="5"/>
  <c r="AL41" i="5"/>
  <c r="AK41" i="5"/>
  <c r="AJ41" i="5"/>
  <c r="AI41" i="5"/>
  <c r="AH41" i="5"/>
  <c r="AQ38" i="5"/>
  <c r="S46" i="21" s="1"/>
  <c r="AP38" i="5"/>
  <c r="S45" i="21" s="1"/>
  <c r="AO38" i="5"/>
  <c r="S44" i="21" s="1"/>
  <c r="AN38" i="5"/>
  <c r="S43" i="21" s="1"/>
  <c r="AM38" i="5"/>
  <c r="AD46" i="21" s="1"/>
  <c r="AL38" i="5"/>
  <c r="AD45" i="21" s="1"/>
  <c r="AK38" i="5"/>
  <c r="AD44" i="21" s="1"/>
  <c r="AJ38" i="5"/>
  <c r="AD43" i="21" s="1"/>
  <c r="AI38" i="5"/>
  <c r="AH38" i="5"/>
  <c r="AQ33" i="5"/>
  <c r="S46" i="20" s="1"/>
  <c r="I47" i="20" s="1"/>
  <c r="AP33" i="5"/>
  <c r="S45" i="20" s="1"/>
  <c r="AO33" i="5"/>
  <c r="S44" i="20" s="1"/>
  <c r="AN33" i="5"/>
  <c r="S43" i="20" s="1"/>
  <c r="AM33" i="5"/>
  <c r="AD46" i="20" s="1"/>
  <c r="AL33" i="5"/>
  <c r="AD45" i="20" s="1"/>
  <c r="AK33" i="5"/>
  <c r="AD44" i="20" s="1"/>
  <c r="AJ33" i="5"/>
  <c r="AD43" i="20" s="1"/>
  <c r="AI33" i="5"/>
  <c r="AH33" i="5"/>
  <c r="AQ28" i="5"/>
  <c r="U52" i="22" s="1"/>
  <c r="I53" i="22" s="1"/>
  <c r="J54" i="22" s="1"/>
  <c r="AP28" i="5"/>
  <c r="U51" i="22" s="1"/>
  <c r="AO28" i="5"/>
  <c r="U50" i="22" s="1"/>
  <c r="AN28" i="5"/>
  <c r="AM28" i="5"/>
  <c r="AG52" i="22" s="1"/>
  <c r="AL28" i="5"/>
  <c r="AG51" i="22" s="1"/>
  <c r="AK28" i="5"/>
  <c r="AG50" i="22" s="1"/>
  <c r="AJ28" i="5"/>
  <c r="AG49" i="22" s="1"/>
  <c r="AI28" i="5"/>
  <c r="AH28" i="5"/>
  <c r="AQ23" i="5"/>
  <c r="L22" i="24" s="1"/>
  <c r="F23" i="24" s="1"/>
  <c r="AP23" i="5"/>
  <c r="S45" i="19" s="1"/>
  <c r="AO23" i="5"/>
  <c r="L20" i="24" s="1"/>
  <c r="AN23" i="5"/>
  <c r="L19" i="24" s="1"/>
  <c r="AM23" i="5"/>
  <c r="O22" i="24" s="1"/>
  <c r="AL23" i="5"/>
  <c r="O21" i="24" s="1"/>
  <c r="AK23" i="5"/>
  <c r="AJ23" i="5"/>
  <c r="AD43" i="19" s="1"/>
  <c r="AI23" i="5"/>
  <c r="AH23" i="5"/>
  <c r="AQ18" i="5"/>
  <c r="S46" i="17" s="1"/>
  <c r="I47" i="17" s="1"/>
  <c r="AP18" i="5"/>
  <c r="S45" i="17" s="1"/>
  <c r="AO18" i="5"/>
  <c r="S44" i="17" s="1"/>
  <c r="AN18" i="5"/>
  <c r="S43" i="17" s="1"/>
  <c r="AM18" i="5"/>
  <c r="AD46" i="17" s="1"/>
  <c r="AL18" i="5"/>
  <c r="AD45" i="17" s="1"/>
  <c r="AK18" i="5"/>
  <c r="AD44" i="17" s="1"/>
  <c r="AJ18" i="5"/>
  <c r="AD43" i="17" s="1"/>
  <c r="AI18" i="5"/>
  <c r="AH18" i="5"/>
  <c r="AQ15" i="5"/>
  <c r="AP15" i="5"/>
  <c r="AO15" i="5"/>
  <c r="AN15" i="5"/>
  <c r="AM15" i="5"/>
  <c r="AL15" i="5"/>
  <c r="AK15" i="5"/>
  <c r="AJ15" i="5"/>
  <c r="AI15" i="5"/>
  <c r="AH15" i="5"/>
  <c r="AQ13" i="5"/>
  <c r="S46" i="16" s="1"/>
  <c r="I47" i="16" s="1"/>
  <c r="AP13" i="5"/>
  <c r="S45" i="16" s="1"/>
  <c r="AO13" i="5"/>
  <c r="S44" i="16" s="1"/>
  <c r="AN13" i="5"/>
  <c r="S43" i="16" s="1"/>
  <c r="AM13" i="5"/>
  <c r="AD46" i="16" s="1"/>
  <c r="AL13" i="5"/>
  <c r="AK13" i="5"/>
  <c r="AJ13" i="5"/>
  <c r="AD43" i="16" s="1"/>
  <c r="AI13" i="5"/>
  <c r="AH13" i="5"/>
  <c r="D6" i="5"/>
  <c r="D5" i="5"/>
  <c r="R62" i="4"/>
  <c r="P62" i="4"/>
  <c r="E62" i="4"/>
  <c r="R59" i="4"/>
  <c r="R58" i="4"/>
  <c r="BS11" i="31" s="1"/>
  <c r="R56" i="4"/>
  <c r="BQ11" i="31" s="1"/>
  <c r="R54" i="4"/>
  <c r="P54" i="4"/>
  <c r="R52" i="4"/>
  <c r="BE11" i="31" s="1"/>
  <c r="R50" i="4"/>
  <c r="R48" i="4"/>
  <c r="Q48" i="4"/>
  <c r="I48" i="4"/>
  <c r="R46" i="4"/>
  <c r="Q46" i="4"/>
  <c r="P46" i="4"/>
  <c r="I46" i="4"/>
  <c r="R44" i="4"/>
  <c r="AB11" i="32" s="1"/>
  <c r="R42" i="4"/>
  <c r="R40" i="4"/>
  <c r="AS11" i="31" s="1"/>
  <c r="R38" i="4"/>
  <c r="P38" i="4"/>
  <c r="R36" i="4"/>
  <c r="R34" i="4"/>
  <c r="AM11" i="31" s="1"/>
  <c r="R32" i="4"/>
  <c r="E32" i="4"/>
  <c r="P52" i="4" s="1"/>
  <c r="R29" i="4"/>
  <c r="Q29" i="4"/>
  <c r="P29" i="4"/>
  <c r="BM9" i="31" s="1"/>
  <c r="R28" i="4"/>
  <c r="Q28" i="4"/>
  <c r="R27" i="4"/>
  <c r="Q27" i="4"/>
  <c r="BI10" i="31" s="1"/>
  <c r="R26" i="4"/>
  <c r="Q26" i="4"/>
  <c r="AG10" i="32" s="1"/>
  <c r="P26" i="4"/>
  <c r="R25" i="4"/>
  <c r="Q25" i="4"/>
  <c r="P25" i="4"/>
  <c r="R24" i="4"/>
  <c r="Q24" i="4"/>
  <c r="P24" i="4"/>
  <c r="S9" i="32" s="1"/>
  <c r="R23" i="4"/>
  <c r="Q23" i="4"/>
  <c r="AC10" i="31" s="1"/>
  <c r="P23" i="4"/>
  <c r="AC26" i="33" s="1"/>
  <c r="R22" i="4"/>
  <c r="Q22" i="4"/>
  <c r="R21" i="4"/>
  <c r="Q21" i="4"/>
  <c r="P21" i="4"/>
  <c r="R20" i="4"/>
  <c r="O11" i="32" s="1"/>
  <c r="Q20" i="4"/>
  <c r="P20" i="4"/>
  <c r="R19" i="4"/>
  <c r="Q19" i="4"/>
  <c r="P19" i="4"/>
  <c r="R18" i="4"/>
  <c r="S28" i="33" s="1"/>
  <c r="Q18" i="4"/>
  <c r="M10" i="32" s="1"/>
  <c r="R17" i="4"/>
  <c r="L11" i="32" s="1"/>
  <c r="Q17" i="4"/>
  <c r="Q10" i="31" s="1"/>
  <c r="R16" i="4"/>
  <c r="O28" i="33" s="1"/>
  <c r="Q16" i="4"/>
  <c r="P16" i="4"/>
  <c r="O9" i="31" s="1"/>
  <c r="R15" i="4"/>
  <c r="M28" i="33" s="1"/>
  <c r="Q15" i="4"/>
  <c r="R14" i="4"/>
  <c r="Q14" i="4"/>
  <c r="P14" i="4"/>
  <c r="R13" i="4"/>
  <c r="Q13" i="4"/>
  <c r="I10" i="31" s="1"/>
  <c r="P13" i="4"/>
  <c r="E13" i="4"/>
  <c r="P18" i="4" s="1"/>
  <c r="E7" i="4"/>
  <c r="D5" i="4"/>
  <c r="O153" i="3"/>
  <c r="M153" i="3" a="1"/>
  <c r="M153" i="3"/>
  <c r="E153" i="3"/>
  <c r="E152" i="3"/>
  <c r="G152" i="3" s="1"/>
  <c r="O150" i="3"/>
  <c r="M150" i="3" a="1"/>
  <c r="M150" i="3"/>
  <c r="E150" i="3"/>
  <c r="E149" i="3"/>
  <c r="G149" i="3" s="1"/>
  <c r="I52" i="4" s="1"/>
  <c r="Q52" i="4" s="1"/>
  <c r="O147" i="3"/>
  <c r="M147" i="3" a="1"/>
  <c r="M147" i="3" s="1"/>
  <c r="E147" i="3"/>
  <c r="E146" i="3"/>
  <c r="G146" i="3" s="1"/>
  <c r="O144" i="3"/>
  <c r="M144" i="3" a="1"/>
  <c r="M144" i="3" s="1"/>
  <c r="E144" i="3"/>
  <c r="G143" i="3"/>
  <c r="E143" i="3"/>
  <c r="O141" i="3"/>
  <c r="M141" i="3" a="1"/>
  <c r="M141" i="3" s="1"/>
  <c r="E141" i="3"/>
  <c r="E140" i="3"/>
  <c r="G140" i="3" s="1"/>
  <c r="O138" i="3"/>
  <c r="M138" i="3" a="1"/>
  <c r="M138" i="3" s="1"/>
  <c r="E138" i="3"/>
  <c r="O137" i="3"/>
  <c r="M137" i="3" a="1"/>
  <c r="M137" i="3" s="1"/>
  <c r="E137" i="3"/>
  <c r="O136" i="3"/>
  <c r="M136" i="3" a="1"/>
  <c r="M136" i="3" s="1"/>
  <c r="E136" i="3"/>
  <c r="E135" i="3"/>
  <c r="G135" i="3" s="1"/>
  <c r="O133" i="3"/>
  <c r="M133" i="3" a="1"/>
  <c r="M133" i="3"/>
  <c r="E133" i="3"/>
  <c r="O132" i="3"/>
  <c r="M132" i="3" a="1"/>
  <c r="M132" i="3" s="1"/>
  <c r="E132" i="3"/>
  <c r="O131" i="3"/>
  <c r="M131" i="3" a="1"/>
  <c r="M131" i="3" s="1"/>
  <c r="E131" i="3"/>
  <c r="O130" i="3"/>
  <c r="M130" i="3" a="1"/>
  <c r="M130" i="3" s="1"/>
  <c r="E130" i="3"/>
  <c r="O129" i="3"/>
  <c r="M129" i="3" a="1"/>
  <c r="M129" i="3" s="1"/>
  <c r="E129" i="3"/>
  <c r="O128" i="3"/>
  <c r="M128" i="3" a="1"/>
  <c r="M128" i="3" s="1"/>
  <c r="E128" i="3"/>
  <c r="O127" i="3"/>
  <c r="M127" i="3" a="1"/>
  <c r="M127" i="3"/>
  <c r="E127" i="3"/>
  <c r="E126" i="3"/>
  <c r="G126" i="3" s="1"/>
  <c r="O124" i="3"/>
  <c r="M124" i="3" a="1"/>
  <c r="M124" i="3" s="1"/>
  <c r="E124" i="3"/>
  <c r="G123" i="3"/>
  <c r="E123" i="3"/>
  <c r="O121" i="3"/>
  <c r="M121" i="3" a="1"/>
  <c r="M121" i="3"/>
  <c r="E121" i="3"/>
  <c r="O120" i="3"/>
  <c r="M120" i="3" a="1"/>
  <c r="M120" i="3" s="1"/>
  <c r="E120" i="3"/>
  <c r="O119" i="3"/>
  <c r="M119" i="3" a="1"/>
  <c r="M119" i="3" s="1"/>
  <c r="E119" i="3"/>
  <c r="O118" i="3"/>
  <c r="M118" i="3" a="1"/>
  <c r="M118" i="3"/>
  <c r="E118" i="3"/>
  <c r="O117" i="3"/>
  <c r="M117" i="3" a="1"/>
  <c r="M117" i="3"/>
  <c r="E117" i="3"/>
  <c r="G116" i="3"/>
  <c r="I34" i="4" s="1"/>
  <c r="Q34" i="4" s="1"/>
  <c r="E116" i="3"/>
  <c r="O114" i="3"/>
  <c r="M114" i="3" a="1"/>
  <c r="M114" i="3"/>
  <c r="E114" i="3"/>
  <c r="E113" i="3"/>
  <c r="G113" i="3" s="1"/>
  <c r="O111" i="3"/>
  <c r="M111" i="3" a="1"/>
  <c r="M111" i="3"/>
  <c r="E111" i="3"/>
  <c r="E110" i="3"/>
  <c r="G110" i="3" s="1"/>
  <c r="I58" i="4" s="1"/>
  <c r="O108" i="3"/>
  <c r="M108" i="3" a="1"/>
  <c r="M108" i="3" s="1"/>
  <c r="E108" i="3"/>
  <c r="G107" i="3"/>
  <c r="E107" i="3"/>
  <c r="O105" i="3"/>
  <c r="M105" i="3" a="1"/>
  <c r="M105" i="3"/>
  <c r="E105" i="3"/>
  <c r="E104" i="3"/>
  <c r="G104" i="3" s="1"/>
  <c r="I42" i="4" s="1"/>
  <c r="Q42" i="4" s="1"/>
  <c r="O102" i="3"/>
  <c r="M102" i="3" a="1"/>
  <c r="M102" i="3"/>
  <c r="E102" i="3"/>
  <c r="E101" i="3"/>
  <c r="G101" i="3" s="1"/>
  <c r="O99" i="3"/>
  <c r="M99" i="3" a="1"/>
  <c r="M99" i="3" s="1"/>
  <c r="E99" i="3"/>
  <c r="E98" i="3"/>
  <c r="G98" i="3" s="1"/>
  <c r="O96" i="3"/>
  <c r="M96" i="3" a="1"/>
  <c r="M96" i="3" s="1"/>
  <c r="E96" i="3"/>
  <c r="G95" i="3"/>
  <c r="E95" i="3"/>
  <c r="O93" i="3"/>
  <c r="M93" i="3" a="1"/>
  <c r="M93" i="3" s="1"/>
  <c r="E93" i="3"/>
  <c r="O92" i="3"/>
  <c r="M92" i="3" a="1"/>
  <c r="M92" i="3"/>
  <c r="E92" i="3"/>
  <c r="O91" i="3"/>
  <c r="M91" i="3" a="1"/>
  <c r="M91" i="3"/>
  <c r="E91" i="3"/>
  <c r="O90" i="3"/>
  <c r="M90" i="3" a="1"/>
  <c r="M90" i="3"/>
  <c r="E90" i="3"/>
  <c r="E89" i="3"/>
  <c r="G89" i="3" s="1"/>
  <c r="I56" i="4" s="1"/>
  <c r="Q56" i="4" s="1"/>
  <c r="O87" i="3"/>
  <c r="M87" i="3" a="1"/>
  <c r="M87" i="3"/>
  <c r="E87" i="3"/>
  <c r="O86" i="3"/>
  <c r="M86" i="3" a="1"/>
  <c r="M86" i="3"/>
  <c r="E86" i="3"/>
  <c r="O85" i="3"/>
  <c r="M85" i="3" a="1"/>
  <c r="M85" i="3" s="1"/>
  <c r="E85" i="3"/>
  <c r="O84" i="3"/>
  <c r="M84" i="3" a="1"/>
  <c r="M84" i="3"/>
  <c r="E84" i="3"/>
  <c r="O83" i="3"/>
  <c r="M83" i="3" a="1"/>
  <c r="M83" i="3"/>
  <c r="E83" i="3"/>
  <c r="O82" i="3"/>
  <c r="M82" i="3" a="1"/>
  <c r="M82" i="3"/>
  <c r="E82" i="3"/>
  <c r="O81" i="3"/>
  <c r="M81" i="3" a="1"/>
  <c r="M81" i="3"/>
  <c r="E81" i="3"/>
  <c r="O80" i="3"/>
  <c r="M80" i="3" a="1"/>
  <c r="M80" i="3" s="1"/>
  <c r="E80" i="3"/>
  <c r="G79" i="3"/>
  <c r="I44" i="4" s="1"/>
  <c r="Q44" i="4" s="1"/>
  <c r="E79" i="3"/>
  <c r="O77" i="3"/>
  <c r="M77" i="3" a="1"/>
  <c r="M77" i="3" s="1"/>
  <c r="E77" i="3"/>
  <c r="E76" i="3"/>
  <c r="G76" i="3" s="1"/>
  <c r="I50" i="4" s="1"/>
  <c r="Q50" i="4" s="1"/>
  <c r="O74" i="3"/>
  <c r="M74" i="3" a="1"/>
  <c r="M74" i="3" s="1"/>
  <c r="E74" i="3"/>
  <c r="O73" i="3"/>
  <c r="M73" i="3" a="1"/>
  <c r="M73" i="3" s="1"/>
  <c r="E73" i="3"/>
  <c r="O72" i="3"/>
  <c r="M72" i="3" a="1"/>
  <c r="M72" i="3" s="1"/>
  <c r="E72" i="3"/>
  <c r="O71" i="3"/>
  <c r="M71" i="3" a="1"/>
  <c r="M71" i="3"/>
  <c r="E71" i="3"/>
  <c r="O70" i="3"/>
  <c r="M70" i="3" a="1"/>
  <c r="M70" i="3"/>
  <c r="E70" i="3"/>
  <c r="O69" i="3"/>
  <c r="M69" i="3" a="1"/>
  <c r="M69" i="3" s="1"/>
  <c r="E69" i="3"/>
  <c r="O68" i="3"/>
  <c r="M68" i="3" a="1"/>
  <c r="M68" i="3"/>
  <c r="E68" i="3"/>
  <c r="O67" i="3"/>
  <c r="M67" i="3" a="1"/>
  <c r="M67" i="3"/>
  <c r="E67" i="3"/>
  <c r="G66" i="3"/>
  <c r="E66" i="3"/>
  <c r="O64" i="3"/>
  <c r="M64" i="3" a="1"/>
  <c r="M64" i="3" s="1"/>
  <c r="E64" i="3"/>
  <c r="O63" i="3"/>
  <c r="M63" i="3" a="1"/>
  <c r="M63" i="3"/>
  <c r="E63" i="3"/>
  <c r="O62" i="3"/>
  <c r="M62" i="3" a="1"/>
  <c r="M62" i="3"/>
  <c r="E62" i="3"/>
  <c r="O61" i="3"/>
  <c r="M61" i="3" a="1"/>
  <c r="M61" i="3" s="1"/>
  <c r="E61" i="3"/>
  <c r="E60" i="3"/>
  <c r="G60" i="3" s="1"/>
  <c r="O58" i="3"/>
  <c r="M58" i="3" a="1"/>
  <c r="M58" i="3" s="1"/>
  <c r="E58" i="3"/>
  <c r="E57" i="3"/>
  <c r="G57" i="3" s="1"/>
  <c r="O55" i="3"/>
  <c r="M55" i="3" a="1"/>
  <c r="M55" i="3" s="1"/>
  <c r="E55" i="3"/>
  <c r="E54" i="3"/>
  <c r="G54" i="3" s="1"/>
  <c r="O52" i="3"/>
  <c r="M52" i="3" a="1"/>
  <c r="M52" i="3"/>
  <c r="E52" i="3"/>
  <c r="O51" i="3"/>
  <c r="M51" i="3" a="1"/>
  <c r="M51" i="3"/>
  <c r="E51" i="3"/>
  <c r="O50" i="3"/>
  <c r="M50" i="3" a="1"/>
  <c r="M50" i="3"/>
  <c r="E50" i="3"/>
  <c r="O49" i="3"/>
  <c r="M49" i="3" a="1"/>
  <c r="M49" i="3"/>
  <c r="E49" i="3"/>
  <c r="O48" i="3"/>
  <c r="M48" i="3" a="1"/>
  <c r="M48" i="3" s="1"/>
  <c r="E48" i="3"/>
  <c r="O47" i="3"/>
  <c r="M47" i="3" a="1"/>
  <c r="M47" i="3" s="1"/>
  <c r="E47" i="3"/>
  <c r="O46" i="3"/>
  <c r="M46" i="3" a="1"/>
  <c r="M46" i="3"/>
  <c r="E46" i="3"/>
  <c r="O45" i="3"/>
  <c r="M45" i="3" a="1"/>
  <c r="M45" i="3"/>
  <c r="E45" i="3"/>
  <c r="G44" i="3"/>
  <c r="I36" i="4" s="1"/>
  <c r="Q36" i="4" s="1"/>
  <c r="E44" i="3"/>
  <c r="O42" i="3"/>
  <c r="M42" i="3" a="1"/>
  <c r="M42" i="3"/>
  <c r="E42" i="3"/>
  <c r="E41" i="3"/>
  <c r="G41" i="3" s="1"/>
  <c r="I38" i="4" s="1"/>
  <c r="Q38" i="4" s="1"/>
  <c r="O39" i="3"/>
  <c r="M39" i="3" a="1"/>
  <c r="M39" i="3"/>
  <c r="E39" i="3"/>
  <c r="E38" i="3"/>
  <c r="G38" i="3" s="1"/>
  <c r="O36" i="3"/>
  <c r="M36" i="3" a="1"/>
  <c r="M36" i="3" s="1"/>
  <c r="E36" i="3"/>
  <c r="G35" i="3"/>
  <c r="E35" i="3"/>
  <c r="O33" i="3"/>
  <c r="M33" i="3" a="1"/>
  <c r="M33" i="3"/>
  <c r="E33" i="3"/>
  <c r="E32" i="3"/>
  <c r="G32" i="3" s="1"/>
  <c r="O30" i="3"/>
  <c r="M30" i="3" a="1"/>
  <c r="M30" i="3"/>
  <c r="E30" i="3"/>
  <c r="O29" i="3"/>
  <c r="M29" i="3" a="1"/>
  <c r="M29" i="3" s="1"/>
  <c r="E29" i="3"/>
  <c r="O28" i="3"/>
  <c r="M28" i="3" a="1"/>
  <c r="M28" i="3"/>
  <c r="E28" i="3"/>
  <c r="O27" i="3"/>
  <c r="M27" i="3" a="1"/>
  <c r="M27" i="3"/>
  <c r="E27" i="3"/>
  <c r="O26" i="3"/>
  <c r="M26" i="3" a="1"/>
  <c r="M26" i="3"/>
  <c r="E26" i="3"/>
  <c r="O25" i="3"/>
  <c r="M25" i="3" a="1"/>
  <c r="M25" i="3"/>
  <c r="E25" i="3"/>
  <c r="E24" i="3"/>
  <c r="G24" i="3" s="1"/>
  <c r="O22" i="3"/>
  <c r="M22" i="3" a="1"/>
  <c r="M22" i="3"/>
  <c r="E22" i="3"/>
  <c r="E21" i="3"/>
  <c r="G21" i="3" s="1"/>
  <c r="I40" i="4" s="1"/>
  <c r="Q40" i="4" s="1"/>
  <c r="O19" i="3"/>
  <c r="M19" i="3" a="1"/>
  <c r="M19" i="3"/>
  <c r="E19" i="3"/>
  <c r="E18" i="3"/>
  <c r="G18" i="3" s="1"/>
  <c r="O16" i="3"/>
  <c r="M16" i="3" a="1"/>
  <c r="M16" i="3" s="1"/>
  <c r="E16" i="3"/>
  <c r="G15" i="3"/>
  <c r="E15" i="3"/>
  <c r="O13" i="3"/>
  <c r="M13" i="3" a="1"/>
  <c r="M13" i="3" s="1"/>
  <c r="E13" i="3"/>
  <c r="E12" i="3"/>
  <c r="G12" i="3" s="1"/>
  <c r="E4" i="3"/>
  <c r="E57" i="2"/>
  <c r="E47" i="2"/>
  <c r="E39" i="2"/>
  <c r="F23" i="2"/>
  <c r="E20" i="2"/>
  <c r="E19" i="2"/>
  <c r="F18" i="2"/>
  <c r="E5" i="2"/>
  <c r="E3" i="2"/>
  <c r="E2" i="2"/>
  <c r="AL46" i="49"/>
  <c r="AN8" i="18"/>
  <c r="J73" i="3"/>
  <c r="J19" i="3"/>
  <c r="J153" i="3"/>
  <c r="AN49" i="20"/>
  <c r="J138" i="3"/>
  <c r="J96" i="3"/>
  <c r="J61" i="3"/>
  <c r="AL46" i="35"/>
  <c r="AL46" i="36"/>
  <c r="Y25" i="25"/>
  <c r="L19" i="27"/>
  <c r="J46" i="3"/>
  <c r="J121" i="3"/>
  <c r="J49" i="3"/>
  <c r="J130" i="3"/>
  <c r="AL46" i="37"/>
  <c r="J28" i="3"/>
  <c r="J70" i="3"/>
  <c r="J111" i="3"/>
  <c r="J42" i="3"/>
  <c r="AN49" i="16"/>
  <c r="AL46" i="38"/>
  <c r="AR8" i="22"/>
  <c r="J132" i="3"/>
  <c r="J105" i="3"/>
  <c r="J81" i="3"/>
  <c r="J84" i="3"/>
  <c r="J74" i="3"/>
  <c r="J58" i="3"/>
  <c r="AL7" i="52"/>
  <c r="AL7" i="36"/>
  <c r="J68" i="3"/>
  <c r="J27" i="3"/>
  <c r="AN8" i="21"/>
  <c r="J117" i="3"/>
  <c r="J63" i="3"/>
  <c r="L23" i="27"/>
  <c r="J25" i="3"/>
  <c r="J92" i="3"/>
  <c r="J129" i="3"/>
  <c r="P11" i="66"/>
  <c r="AN8" i="20"/>
  <c r="AN49" i="18"/>
  <c r="J124" i="3"/>
  <c r="J33" i="3"/>
  <c r="J52" i="3"/>
  <c r="J83" i="3"/>
  <c r="J108" i="3"/>
  <c r="J114" i="3"/>
  <c r="K2" i="64"/>
  <c r="J147" i="3"/>
  <c r="J48" i="3"/>
  <c r="M2" i="65"/>
  <c r="Y23" i="27"/>
  <c r="Y25" i="26"/>
  <c r="J36" i="3"/>
  <c r="AN49" i="19"/>
  <c r="J51" i="3"/>
  <c r="J118" i="3"/>
  <c r="J80" i="3"/>
  <c r="AL7" i="38"/>
  <c r="J150" i="3"/>
  <c r="J119" i="3"/>
  <c r="AN8" i="16"/>
  <c r="AN8" i="19"/>
  <c r="AV8" i="23"/>
  <c r="J85" i="3"/>
  <c r="AR56" i="22"/>
  <c r="AL46" i="50"/>
  <c r="J16" i="3"/>
  <c r="P2" i="66"/>
  <c r="L22" i="27"/>
  <c r="J102" i="3"/>
  <c r="J55" i="3"/>
  <c r="J141" i="3"/>
  <c r="AN49" i="17"/>
  <c r="AR55" i="22"/>
  <c r="J14" i="14"/>
  <c r="J128" i="3"/>
  <c r="J39" i="3"/>
  <c r="L20" i="27"/>
  <c r="AL7" i="49"/>
  <c r="AN8" i="17"/>
  <c r="AL46" i="52"/>
  <c r="AV51" i="23"/>
  <c r="J86" i="3"/>
  <c r="J47" i="3"/>
  <c r="J93" i="3"/>
  <c r="J136" i="3"/>
  <c r="J127" i="3"/>
  <c r="J133" i="3"/>
  <c r="K9" i="64"/>
  <c r="Y25" i="24"/>
  <c r="J91" i="3"/>
  <c r="J26" i="3"/>
  <c r="J67" i="3"/>
  <c r="J99" i="3"/>
  <c r="AL7" i="53"/>
  <c r="AL7" i="35"/>
  <c r="J62" i="3"/>
  <c r="J90" i="3"/>
  <c r="J77" i="3"/>
  <c r="J72" i="3"/>
  <c r="J87" i="3"/>
  <c r="J45" i="3"/>
  <c r="J22" i="3"/>
  <c r="J29" i="3"/>
  <c r="J137" i="3"/>
  <c r="M10" i="65"/>
  <c r="L21" i="27"/>
  <c r="J30" i="3"/>
  <c r="J82" i="3"/>
  <c r="J69" i="3"/>
  <c r="J64" i="3"/>
  <c r="J71" i="3"/>
  <c r="J144" i="3"/>
  <c r="AL7" i="50"/>
  <c r="J50" i="3"/>
  <c r="J131" i="3"/>
  <c r="J120" i="3"/>
  <c r="AL7" i="37"/>
  <c r="AL46" i="53"/>
  <c r="J13" i="3"/>
  <c r="AN49" i="21"/>
  <c r="J48" i="16" l="1"/>
  <c r="S47" i="16"/>
  <c r="J7" i="17"/>
  <c r="S6" i="17"/>
  <c r="BE8" i="44"/>
  <c r="AG11" i="42"/>
  <c r="AG11" i="43"/>
  <c r="H231" i="41"/>
  <c r="AG26" i="40"/>
  <c r="BE10" i="31"/>
  <c r="BE27" i="33"/>
  <c r="AF10" i="32"/>
  <c r="I33" i="4"/>
  <c r="I32" i="4"/>
  <c r="Q32" i="4" s="1"/>
  <c r="D42" i="7"/>
  <c r="D43" i="7" s="1"/>
  <c r="D44" i="7" s="1"/>
  <c r="D40" i="7"/>
  <c r="D39" i="7"/>
  <c r="BC8" i="44"/>
  <c r="AF11" i="43"/>
  <c r="H222" i="41"/>
  <c r="AF11" i="42"/>
  <c r="AF26" i="40"/>
  <c r="BC10" i="31"/>
  <c r="AE10" i="32"/>
  <c r="BC27" i="33"/>
  <c r="J48" i="17"/>
  <c r="S47" i="17"/>
  <c r="U54" i="22"/>
  <c r="K55" i="22"/>
  <c r="AB11" i="43"/>
  <c r="AU8" i="44"/>
  <c r="H186" i="41"/>
  <c r="AB11" i="42"/>
  <c r="AB26" i="40"/>
  <c r="AU27" i="33"/>
  <c r="AA10" i="32"/>
  <c r="AU10" i="31"/>
  <c r="BQ8" i="44"/>
  <c r="AM11" i="42"/>
  <c r="AM11" i="43"/>
  <c r="H285" i="41"/>
  <c r="AM26" i="40"/>
  <c r="BQ27" i="33"/>
  <c r="AL10" i="32"/>
  <c r="BQ10" i="31"/>
  <c r="BE7" i="44"/>
  <c r="AG10" i="42"/>
  <c r="H230" i="41"/>
  <c r="AG10" i="43"/>
  <c r="AG25" i="40"/>
  <c r="BE9" i="31"/>
  <c r="BE26" i="33"/>
  <c r="AF9" i="32"/>
  <c r="E114" i="40"/>
  <c r="AQ111" i="40"/>
  <c r="E118" i="40"/>
  <c r="E117" i="40"/>
  <c r="E116" i="40"/>
  <c r="E115" i="40"/>
  <c r="E113" i="40"/>
  <c r="E112" i="40"/>
  <c r="AQ112" i="40" s="1"/>
  <c r="E122" i="40"/>
  <c r="E119" i="40"/>
  <c r="E121" i="40"/>
  <c r="E120" i="40"/>
  <c r="S48" i="18"/>
  <c r="K49" i="18"/>
  <c r="S49" i="18" s="1"/>
  <c r="AC11" i="42"/>
  <c r="AC11" i="43"/>
  <c r="AW8" i="44"/>
  <c r="AC26" i="40"/>
  <c r="H195" i="41"/>
  <c r="AB10" i="32"/>
  <c r="AW10" i="31"/>
  <c r="AW27" i="33"/>
  <c r="AQ8" i="44"/>
  <c r="Z11" i="43"/>
  <c r="Z11" i="42"/>
  <c r="H168" i="41"/>
  <c r="Z26" i="40"/>
  <c r="AQ27" i="33"/>
  <c r="Y10" i="32"/>
  <c r="AQ10" i="31"/>
  <c r="L24" i="25"/>
  <c r="H25" i="25"/>
  <c r="L25" i="25" s="1"/>
  <c r="AS8" i="44"/>
  <c r="AA11" i="42"/>
  <c r="AA11" i="43"/>
  <c r="H177" i="41"/>
  <c r="AA26" i="40"/>
  <c r="Z10" i="32"/>
  <c r="AS10" i="31"/>
  <c r="AS27" i="33"/>
  <c r="N10" i="42"/>
  <c r="H59" i="41"/>
  <c r="N10" i="43"/>
  <c r="S7" i="44"/>
  <c r="N25" i="40"/>
  <c r="S26" i="33"/>
  <c r="M9" i="32"/>
  <c r="S9" i="31"/>
  <c r="B76" i="40"/>
  <c r="B69" i="40"/>
  <c r="B62" i="40"/>
  <c r="B55" i="40"/>
  <c r="B48" i="40"/>
  <c r="B81" i="40"/>
  <c r="B74" i="40"/>
  <c r="B67" i="40"/>
  <c r="B60" i="40"/>
  <c r="B78" i="40"/>
  <c r="B71" i="40"/>
  <c r="B63" i="40"/>
  <c r="B41" i="40"/>
  <c r="B54" i="40"/>
  <c r="B61" i="40"/>
  <c r="B77" i="40"/>
  <c r="B46" i="40"/>
  <c r="B68" i="40"/>
  <c r="B53" i="40"/>
  <c r="B45" i="40"/>
  <c r="B75" i="40"/>
  <c r="B52" i="40"/>
  <c r="B66" i="40"/>
  <c r="B59" i="40"/>
  <c r="B44" i="40"/>
  <c r="B73" i="40"/>
  <c r="B58" i="40"/>
  <c r="B43" i="40"/>
  <c r="AQ33" i="40"/>
  <c r="B50" i="40"/>
  <c r="B80" i="40"/>
  <c r="B72" i="40"/>
  <c r="B65" i="40"/>
  <c r="B57" i="40"/>
  <c r="B42" i="40"/>
  <c r="B49" i="40"/>
  <c r="B34" i="40"/>
  <c r="B64" i="40"/>
  <c r="B47" i="40"/>
  <c r="B79" i="40"/>
  <c r="B40" i="40"/>
  <c r="B56" i="40"/>
  <c r="B70" i="40"/>
  <c r="B51" i="40"/>
  <c r="U7" i="22"/>
  <c r="K8" i="22"/>
  <c r="AM8" i="44"/>
  <c r="X11" i="42"/>
  <c r="H150" i="41"/>
  <c r="AM27" i="33"/>
  <c r="W10" i="32"/>
  <c r="X26" i="40"/>
  <c r="X11" i="43"/>
  <c r="AM10" i="31"/>
  <c r="G24" i="24"/>
  <c r="L23" i="24"/>
  <c r="I62" i="4"/>
  <c r="Q62" i="4" s="1"/>
  <c r="I54" i="4"/>
  <c r="Q54" i="4" s="1"/>
  <c r="I63" i="4"/>
  <c r="AO8" i="44"/>
  <c r="Y11" i="43"/>
  <c r="Y11" i="42"/>
  <c r="H159" i="41"/>
  <c r="AO27" i="33"/>
  <c r="X10" i="32"/>
  <c r="Y26" i="40"/>
  <c r="AO10" i="31"/>
  <c r="Q59" i="4"/>
  <c r="Q58" i="4"/>
  <c r="S7" i="18"/>
  <c r="K8" i="18"/>
  <c r="S8" i="18" s="1"/>
  <c r="AQ7" i="44"/>
  <c r="Z10" i="42"/>
  <c r="H167" i="41"/>
  <c r="Z10" i="43"/>
  <c r="Z25" i="40"/>
  <c r="AQ26" i="33"/>
  <c r="AD45" i="19"/>
  <c r="R9" i="32"/>
  <c r="E545" i="40"/>
  <c r="I9" i="44"/>
  <c r="I12" i="43"/>
  <c r="I12" i="42"/>
  <c r="H16" i="41"/>
  <c r="I27" i="40"/>
  <c r="H11" i="32"/>
  <c r="I11" i="31"/>
  <c r="I28" i="33"/>
  <c r="O10" i="43"/>
  <c r="H68" i="41"/>
  <c r="U7" i="44"/>
  <c r="O10" i="42"/>
  <c r="O25" i="40"/>
  <c r="AE8" i="44"/>
  <c r="T11" i="42"/>
  <c r="T11" i="43"/>
  <c r="H114" i="41"/>
  <c r="AE10" i="31"/>
  <c r="AE27" i="33"/>
  <c r="S10" i="32"/>
  <c r="BM9" i="44"/>
  <c r="AK12" i="43"/>
  <c r="AK12" i="42"/>
  <c r="H268" i="41"/>
  <c r="BM28" i="33"/>
  <c r="AJ11" i="32"/>
  <c r="AK27" i="40"/>
  <c r="BM11" i="31"/>
  <c r="AD10" i="42"/>
  <c r="H203" i="41"/>
  <c r="AY7" i="44"/>
  <c r="AD10" i="43"/>
  <c r="AD25" i="40"/>
  <c r="AY26" i="33"/>
  <c r="AC9" i="32"/>
  <c r="BO7" i="44"/>
  <c r="AL10" i="43"/>
  <c r="H275" i="41"/>
  <c r="AL10" i="42"/>
  <c r="BO9" i="31"/>
  <c r="AL25" i="40"/>
  <c r="BO26" i="33"/>
  <c r="AK9" i="32"/>
  <c r="AK7" i="44"/>
  <c r="W10" i="42"/>
  <c r="W10" i="43"/>
  <c r="H140" i="41"/>
  <c r="AK9" i="31"/>
  <c r="AK26" i="33"/>
  <c r="V9" i="32"/>
  <c r="W25" i="40"/>
  <c r="AC43" i="49"/>
  <c r="AC43" i="50"/>
  <c r="K7" i="44"/>
  <c r="J10" i="42"/>
  <c r="H23" i="41"/>
  <c r="J10" i="43"/>
  <c r="J25" i="40"/>
  <c r="K26" i="33"/>
  <c r="U8" i="44"/>
  <c r="O11" i="42"/>
  <c r="O11" i="43"/>
  <c r="H69" i="41"/>
  <c r="O26" i="40"/>
  <c r="U10" i="31"/>
  <c r="U27" i="33"/>
  <c r="T12" i="42"/>
  <c r="T12" i="43"/>
  <c r="AE9" i="44"/>
  <c r="H115" i="41"/>
  <c r="T27" i="40"/>
  <c r="AE11" i="31"/>
  <c r="AE28" i="33"/>
  <c r="S11" i="32"/>
  <c r="AY8" i="44"/>
  <c r="H204" i="41"/>
  <c r="AD11" i="42"/>
  <c r="AD11" i="43"/>
  <c r="AD26" i="40"/>
  <c r="AY10" i="31"/>
  <c r="K8" i="44"/>
  <c r="J11" i="43"/>
  <c r="J11" i="42"/>
  <c r="H24" i="41"/>
  <c r="J26" i="40"/>
  <c r="K27" i="33"/>
  <c r="I10" i="32"/>
  <c r="H70" i="41"/>
  <c r="U9" i="44"/>
  <c r="O12" i="43"/>
  <c r="O12" i="42"/>
  <c r="O27" i="40"/>
  <c r="U11" i="31"/>
  <c r="U10" i="43"/>
  <c r="U10" i="42"/>
  <c r="AG7" i="44"/>
  <c r="H122" i="41"/>
  <c r="U25" i="40"/>
  <c r="AG26" i="33"/>
  <c r="T9" i="32"/>
  <c r="Z12" i="42"/>
  <c r="H169" i="41"/>
  <c r="AQ9" i="44"/>
  <c r="Z12" i="43"/>
  <c r="Z27" i="40"/>
  <c r="AQ28" i="33"/>
  <c r="Y11" i="32"/>
  <c r="H205" i="41"/>
  <c r="AY9" i="44"/>
  <c r="AD12" i="42"/>
  <c r="AD12" i="43"/>
  <c r="AD27" i="40"/>
  <c r="AY11" i="31"/>
  <c r="AC11" i="32"/>
  <c r="BO9" i="44"/>
  <c r="AL12" i="43"/>
  <c r="H277" i="41"/>
  <c r="AL12" i="42"/>
  <c r="BO28" i="33"/>
  <c r="AL27" i="40"/>
  <c r="AK9" i="44"/>
  <c r="W12" i="43"/>
  <c r="W12" i="42"/>
  <c r="H142" i="41"/>
  <c r="W27" i="40"/>
  <c r="AK28" i="33"/>
  <c r="V11" i="32"/>
  <c r="J45" i="35"/>
  <c r="S44" i="35"/>
  <c r="S41" i="49"/>
  <c r="S41" i="50"/>
  <c r="S44" i="52"/>
  <c r="J45" i="52"/>
  <c r="S6" i="18"/>
  <c r="S7" i="21"/>
  <c r="L23" i="25"/>
  <c r="E24" i="28"/>
  <c r="AQ11" i="31"/>
  <c r="AY27" i="33"/>
  <c r="E552" i="40"/>
  <c r="J12" i="42"/>
  <c r="H25" i="41"/>
  <c r="J12" i="43"/>
  <c r="K9" i="44"/>
  <c r="J27" i="40"/>
  <c r="K28" i="33"/>
  <c r="I11" i="32"/>
  <c r="S42" i="50"/>
  <c r="S42" i="49"/>
  <c r="J45" i="38"/>
  <c r="S44" i="38"/>
  <c r="H77" i="41"/>
  <c r="P10" i="43"/>
  <c r="P10" i="42"/>
  <c r="W7" i="44"/>
  <c r="W9" i="31"/>
  <c r="P25" i="40"/>
  <c r="AG8" i="44"/>
  <c r="U11" i="43"/>
  <c r="H123" i="41"/>
  <c r="U11" i="42"/>
  <c r="U26" i="40"/>
  <c r="AG10" i="31"/>
  <c r="AG27" i="33"/>
  <c r="T10" i="32"/>
  <c r="P32" i="4"/>
  <c r="G24" i="26"/>
  <c r="L23" i="26"/>
  <c r="Y9" i="32"/>
  <c r="P15" i="4"/>
  <c r="P11" i="43"/>
  <c r="W8" i="44"/>
  <c r="P11" i="42"/>
  <c r="H78" i="41"/>
  <c r="P26" i="40"/>
  <c r="W10" i="31"/>
  <c r="O10" i="32"/>
  <c r="AG9" i="44"/>
  <c r="U12" i="42"/>
  <c r="H124" i="41"/>
  <c r="U12" i="43"/>
  <c r="U27" i="40"/>
  <c r="AG28" i="33"/>
  <c r="T11" i="32"/>
  <c r="AG11" i="31"/>
  <c r="P40" i="4"/>
  <c r="P48" i="4"/>
  <c r="P56" i="4"/>
  <c r="S43" i="50"/>
  <c r="I44" i="50" s="1"/>
  <c r="S43" i="49"/>
  <c r="I44" i="49" s="1"/>
  <c r="AD46" i="19"/>
  <c r="E31" i="28"/>
  <c r="U9" i="31"/>
  <c r="U26" i="33"/>
  <c r="AI9" i="44"/>
  <c r="V12" i="43"/>
  <c r="H133" i="41"/>
  <c r="V12" i="42"/>
  <c r="AI28" i="33"/>
  <c r="V27" i="40"/>
  <c r="S47" i="18"/>
  <c r="S48" i="20"/>
  <c r="E38" i="28"/>
  <c r="E751" i="40"/>
  <c r="E735" i="40"/>
  <c r="E719" i="40"/>
  <c r="E703" i="40"/>
  <c r="E687" i="40"/>
  <c r="E671" i="40"/>
  <c r="E655" i="40"/>
  <c r="E639" i="40"/>
  <c r="E744" i="40"/>
  <c r="E727" i="40"/>
  <c r="E710" i="40"/>
  <c r="E693" i="40"/>
  <c r="E676" i="40"/>
  <c r="E659" i="40"/>
  <c r="E642" i="40"/>
  <c r="E625" i="40"/>
  <c r="E741" i="40"/>
  <c r="E724" i="40"/>
  <c r="E707" i="40"/>
  <c r="E690" i="40"/>
  <c r="E673" i="40"/>
  <c r="E656" i="40"/>
  <c r="E638" i="40"/>
  <c r="E622" i="40"/>
  <c r="E606" i="40"/>
  <c r="E590" i="40"/>
  <c r="E574" i="40"/>
  <c r="E558" i="40"/>
  <c r="E542" i="40"/>
  <c r="E526" i="40"/>
  <c r="E510" i="40"/>
  <c r="E740" i="40"/>
  <c r="E723" i="40"/>
  <c r="E706" i="40"/>
  <c r="E689" i="40"/>
  <c r="E672" i="40"/>
  <c r="E654" i="40"/>
  <c r="E637" i="40"/>
  <c r="E621" i="40"/>
  <c r="E605" i="40"/>
  <c r="E589" i="40"/>
  <c r="E573" i="40"/>
  <c r="E557" i="40"/>
  <c r="E541" i="40"/>
  <c r="E525" i="40"/>
  <c r="E509" i="40"/>
  <c r="E754" i="40"/>
  <c r="E737" i="40"/>
  <c r="E720" i="40"/>
  <c r="E702" i="40"/>
  <c r="E685" i="40"/>
  <c r="E668" i="40"/>
  <c r="E651" i="40"/>
  <c r="E634" i="40"/>
  <c r="E618" i="40"/>
  <c r="E602" i="40"/>
  <c r="E742" i="40"/>
  <c r="E717" i="40"/>
  <c r="E696" i="40"/>
  <c r="E674" i="40"/>
  <c r="E649" i="40"/>
  <c r="E628" i="40"/>
  <c r="E608" i="40"/>
  <c r="E587" i="40"/>
  <c r="E569" i="40"/>
  <c r="E551" i="40"/>
  <c r="E533" i="40"/>
  <c r="E515" i="40"/>
  <c r="E497" i="40"/>
  <c r="E481" i="40"/>
  <c r="E465" i="40"/>
  <c r="E449" i="40"/>
  <c r="E433" i="40"/>
  <c r="E417" i="40"/>
  <c r="E401" i="40"/>
  <c r="E385" i="40"/>
  <c r="E369" i="40"/>
  <c r="E353" i="40"/>
  <c r="E337" i="40"/>
  <c r="E321" i="40"/>
  <c r="E305" i="40"/>
  <c r="E289" i="40"/>
  <c r="E273" i="40"/>
  <c r="E257" i="40"/>
  <c r="E241" i="40"/>
  <c r="E225" i="40"/>
  <c r="E209" i="40"/>
  <c r="E193" i="40"/>
  <c r="E177" i="40"/>
  <c r="E161" i="40"/>
  <c r="E739" i="40"/>
  <c r="E716" i="40"/>
  <c r="E695" i="40"/>
  <c r="E670" i="40"/>
  <c r="E648" i="40"/>
  <c r="E627" i="40"/>
  <c r="E607" i="40"/>
  <c r="E586" i="40"/>
  <c r="E568" i="40"/>
  <c r="E550" i="40"/>
  <c r="E532" i="40"/>
  <c r="E514" i="40"/>
  <c r="E496" i="40"/>
  <c r="E480" i="40"/>
  <c r="E464" i="40"/>
  <c r="E448" i="40"/>
  <c r="E432" i="40"/>
  <c r="E416" i="40"/>
  <c r="E400" i="40"/>
  <c r="E384" i="40"/>
  <c r="E368" i="40"/>
  <c r="E352" i="40"/>
  <c r="E336" i="40"/>
  <c r="E320" i="40"/>
  <c r="E304" i="40"/>
  <c r="E288" i="40"/>
  <c r="E272" i="40"/>
  <c r="E256" i="40"/>
  <c r="E240" i="40"/>
  <c r="E224" i="40"/>
  <c r="E208" i="40"/>
  <c r="E192" i="40"/>
  <c r="E176" i="40"/>
  <c r="E160" i="40"/>
  <c r="E738" i="40"/>
  <c r="E715" i="40"/>
  <c r="E694" i="40"/>
  <c r="E669" i="40"/>
  <c r="E647" i="40"/>
  <c r="E626" i="40"/>
  <c r="E604" i="40"/>
  <c r="E585" i="40"/>
  <c r="E734" i="40"/>
  <c r="E713" i="40"/>
  <c r="E691" i="40"/>
  <c r="E666" i="40"/>
  <c r="E645" i="40"/>
  <c r="E623" i="40"/>
  <c r="E601" i="40"/>
  <c r="E583" i="40"/>
  <c r="E565" i="40"/>
  <c r="E547" i="40"/>
  <c r="E529" i="40"/>
  <c r="E511" i="40"/>
  <c r="E493" i="40"/>
  <c r="E477" i="40"/>
  <c r="E461" i="40"/>
  <c r="E445" i="40"/>
  <c r="E429" i="40"/>
  <c r="E413" i="40"/>
  <c r="E397" i="40"/>
  <c r="E381" i="40"/>
  <c r="E365" i="40"/>
  <c r="E349" i="40"/>
  <c r="E333" i="40"/>
  <c r="E317" i="40"/>
  <c r="E301" i="40"/>
  <c r="E285" i="40"/>
  <c r="E269" i="40"/>
  <c r="E253" i="40"/>
  <c r="E237" i="40"/>
  <c r="E221" i="40"/>
  <c r="E205" i="40"/>
  <c r="E189" i="40"/>
  <c r="E173" i="40"/>
  <c r="E157" i="40"/>
  <c r="E755" i="40"/>
  <c r="E732" i="40"/>
  <c r="E748" i="40"/>
  <c r="E726" i="40"/>
  <c r="E733" i="40"/>
  <c r="E701" i="40"/>
  <c r="E675" i="40"/>
  <c r="E641" i="40"/>
  <c r="E613" i="40"/>
  <c r="E588" i="40"/>
  <c r="E563" i="40"/>
  <c r="E540" i="40"/>
  <c r="E519" i="40"/>
  <c r="E498" i="40"/>
  <c r="E476" i="40"/>
  <c r="E457" i="40"/>
  <c r="E438" i="40"/>
  <c r="E419" i="40"/>
  <c r="E398" i="40"/>
  <c r="E378" i="40"/>
  <c r="E359" i="40"/>
  <c r="E340" i="40"/>
  <c r="E319" i="40"/>
  <c r="E299" i="40"/>
  <c r="E280" i="40"/>
  <c r="E261" i="40"/>
  <c r="E242" i="40"/>
  <c r="E220" i="40"/>
  <c r="E201" i="40"/>
  <c r="E182" i="40"/>
  <c r="E163" i="40"/>
  <c r="E731" i="40"/>
  <c r="E700" i="40"/>
  <c r="E667" i="40"/>
  <c r="E640" i="40"/>
  <c r="E612" i="40"/>
  <c r="E584" i="40"/>
  <c r="E562" i="40"/>
  <c r="E539" i="40"/>
  <c r="E518" i="40"/>
  <c r="E495" i="40"/>
  <c r="E475" i="40"/>
  <c r="E456" i="40"/>
  <c r="E437" i="40"/>
  <c r="E418" i="40"/>
  <c r="E396" i="40"/>
  <c r="E377" i="40"/>
  <c r="E358" i="40"/>
  <c r="E339" i="40"/>
  <c r="E318" i="40"/>
  <c r="E298" i="40"/>
  <c r="E279" i="40"/>
  <c r="E260" i="40"/>
  <c r="E239" i="40"/>
  <c r="E219" i="40"/>
  <c r="E200" i="40"/>
  <c r="E181" i="40"/>
  <c r="E162" i="40"/>
  <c r="E730" i="40"/>
  <c r="E699" i="40"/>
  <c r="E665" i="40"/>
  <c r="E636" i="40"/>
  <c r="E611" i="40"/>
  <c r="E582" i="40"/>
  <c r="E561" i="40"/>
  <c r="E538" i="40"/>
  <c r="E517" i="40"/>
  <c r="E494" i="40"/>
  <c r="E474" i="40"/>
  <c r="E455" i="40"/>
  <c r="E436" i="40"/>
  <c r="E415" i="40"/>
  <c r="E395" i="40"/>
  <c r="E376" i="40"/>
  <c r="E357" i="40"/>
  <c r="E338" i="40"/>
  <c r="E316" i="40"/>
  <c r="E297" i="40"/>
  <c r="E278" i="40"/>
  <c r="E259" i="40"/>
  <c r="E238" i="40"/>
  <c r="E218" i="40"/>
  <c r="E199" i="40"/>
  <c r="E180" i="40"/>
  <c r="E159" i="40"/>
  <c r="E729" i="40"/>
  <c r="E698" i="40"/>
  <c r="E664" i="40"/>
  <c r="E635" i="40"/>
  <c r="E610" i="40"/>
  <c r="E581" i="40"/>
  <c r="E560" i="40"/>
  <c r="E537" i="40"/>
  <c r="E516" i="40"/>
  <c r="E492" i="40"/>
  <c r="E473" i="40"/>
  <c r="E454" i="40"/>
  <c r="E435" i="40"/>
  <c r="E414" i="40"/>
  <c r="E394" i="40"/>
  <c r="E375" i="40"/>
  <c r="E356" i="40"/>
  <c r="E335" i="40"/>
  <c r="E315" i="40"/>
  <c r="E296" i="40"/>
  <c r="E277" i="40"/>
  <c r="E258" i="40"/>
  <c r="E236" i="40"/>
  <c r="E217" i="40"/>
  <c r="E198" i="40"/>
  <c r="E179" i="40"/>
  <c r="E158" i="40"/>
  <c r="E728" i="40"/>
  <c r="E697" i="40"/>
  <c r="E663" i="40"/>
  <c r="E633" i="40"/>
  <c r="E609" i="40"/>
  <c r="E580" i="40"/>
  <c r="E559" i="40"/>
  <c r="E536" i="40"/>
  <c r="E513" i="40"/>
  <c r="E491" i="40"/>
  <c r="E472" i="40"/>
  <c r="E453" i="40"/>
  <c r="E434" i="40"/>
  <c r="E412" i="40"/>
  <c r="E393" i="40"/>
  <c r="E374" i="40"/>
  <c r="E355" i="40"/>
  <c r="E334" i="40"/>
  <c r="E314" i="40"/>
  <c r="E295" i="40"/>
  <c r="E276" i="40"/>
  <c r="E255" i="40"/>
  <c r="E235" i="40"/>
  <c r="E216" i="40"/>
  <c r="E197" i="40"/>
  <c r="E178" i="40"/>
  <c r="E156" i="40"/>
  <c r="E725" i="40"/>
  <c r="E692" i="40"/>
  <c r="E662" i="40"/>
  <c r="E632" i="40"/>
  <c r="E603" i="40"/>
  <c r="E579" i="40"/>
  <c r="E556" i="40"/>
  <c r="E535" i="40"/>
  <c r="E512" i="40"/>
  <c r="E490" i="40"/>
  <c r="E471" i="40"/>
  <c r="E452" i="40"/>
  <c r="E431" i="40"/>
  <c r="E411" i="40"/>
  <c r="E392" i="40"/>
  <c r="E373" i="40"/>
  <c r="E354" i="40"/>
  <c r="E332" i="40"/>
  <c r="E313" i="40"/>
  <c r="E294" i="40"/>
  <c r="E275" i="40"/>
  <c r="E254" i="40"/>
  <c r="E234" i="40"/>
  <c r="E215" i="40"/>
  <c r="E196" i="40"/>
  <c r="E175" i="40"/>
  <c r="E155" i="40"/>
  <c r="E756" i="40"/>
  <c r="E722" i="40"/>
  <c r="E688" i="40"/>
  <c r="E661" i="40"/>
  <c r="E631" i="40"/>
  <c r="E600" i="40"/>
  <c r="E578" i="40"/>
  <c r="E555" i="40"/>
  <c r="E534" i="40"/>
  <c r="E508" i="40"/>
  <c r="E489" i="40"/>
  <c r="E470" i="40"/>
  <c r="E451" i="40"/>
  <c r="E430" i="40"/>
  <c r="E410" i="40"/>
  <c r="E391" i="40"/>
  <c r="E372" i="40"/>
  <c r="E351" i="40"/>
  <c r="E331" i="40"/>
  <c r="E312" i="40"/>
  <c r="E293" i="40"/>
  <c r="E274" i="40"/>
  <c r="E252" i="40"/>
  <c r="E233" i="40"/>
  <c r="E214" i="40"/>
  <c r="E195" i="40"/>
  <c r="E174" i="40"/>
  <c r="E753" i="40"/>
  <c r="E721" i="40"/>
  <c r="E686" i="40"/>
  <c r="E660" i="40"/>
  <c r="E630" i="40"/>
  <c r="E599" i="40"/>
  <c r="E577" i="40"/>
  <c r="E554" i="40"/>
  <c r="E531" i="40"/>
  <c r="E507" i="40"/>
  <c r="E488" i="40"/>
  <c r="E469" i="40"/>
  <c r="E450" i="40"/>
  <c r="E428" i="40"/>
  <c r="E409" i="40"/>
  <c r="E390" i="40"/>
  <c r="E371" i="40"/>
  <c r="E350" i="40"/>
  <c r="E330" i="40"/>
  <c r="E311" i="40"/>
  <c r="E292" i="40"/>
  <c r="E271" i="40"/>
  <c r="E251" i="40"/>
  <c r="E232" i="40"/>
  <c r="E213" i="40"/>
  <c r="E194" i="40"/>
  <c r="E172" i="40"/>
  <c r="E752" i="40"/>
  <c r="E718" i="40"/>
  <c r="E684" i="40"/>
  <c r="E658" i="40"/>
  <c r="E629" i="40"/>
  <c r="E598" i="40"/>
  <c r="E576" i="40"/>
  <c r="E553" i="40"/>
  <c r="E530" i="40"/>
  <c r="E506" i="40"/>
  <c r="E487" i="40"/>
  <c r="E468" i="40"/>
  <c r="E447" i="40"/>
  <c r="E427" i="40"/>
  <c r="E408" i="40"/>
  <c r="E389" i="40"/>
  <c r="E370" i="40"/>
  <c r="E348" i="40"/>
  <c r="E329" i="40"/>
  <c r="E310" i="40"/>
  <c r="E291" i="40"/>
  <c r="E270" i="40"/>
  <c r="E250" i="40"/>
  <c r="E231" i="40"/>
  <c r="E212" i="40"/>
  <c r="E191" i="40"/>
  <c r="E171" i="40"/>
  <c r="E749" i="40"/>
  <c r="E712" i="40"/>
  <c r="E682" i="40"/>
  <c r="E653" i="40"/>
  <c r="E620" i="40"/>
  <c r="E596" i="40"/>
  <c r="E572" i="40"/>
  <c r="E549" i="40"/>
  <c r="E527" i="40"/>
  <c r="E504" i="40"/>
  <c r="E485" i="40"/>
  <c r="E466" i="40"/>
  <c r="E444" i="40"/>
  <c r="E425" i="40"/>
  <c r="E406" i="40"/>
  <c r="E387" i="40"/>
  <c r="E366" i="40"/>
  <c r="E346" i="40"/>
  <c r="E327" i="40"/>
  <c r="E308" i="40"/>
  <c r="E287" i="40"/>
  <c r="E267" i="40"/>
  <c r="E248" i="40"/>
  <c r="E229" i="40"/>
  <c r="E210" i="40"/>
  <c r="E188" i="40"/>
  <c r="E169" i="40"/>
  <c r="E747" i="40"/>
  <c r="E711" i="40"/>
  <c r="E681" i="40"/>
  <c r="E652" i="40"/>
  <c r="E619" i="40"/>
  <c r="E595" i="40"/>
  <c r="E571" i="40"/>
  <c r="E548" i="40"/>
  <c r="E524" i="40"/>
  <c r="E503" i="40"/>
  <c r="E484" i="40"/>
  <c r="E463" i="40"/>
  <c r="E443" i="40"/>
  <c r="E424" i="40"/>
  <c r="E405" i="40"/>
  <c r="E386" i="40"/>
  <c r="E364" i="40"/>
  <c r="E345" i="40"/>
  <c r="E326" i="40"/>
  <c r="E307" i="40"/>
  <c r="E286" i="40"/>
  <c r="E266" i="40"/>
  <c r="E247" i="40"/>
  <c r="E228" i="40"/>
  <c r="E207" i="40"/>
  <c r="E187" i="40"/>
  <c r="E168" i="40"/>
  <c r="E746" i="40"/>
  <c r="E709" i="40"/>
  <c r="E680" i="40"/>
  <c r="E650" i="40"/>
  <c r="E617" i="40"/>
  <c r="E594" i="40"/>
  <c r="E570" i="40"/>
  <c r="E546" i="40"/>
  <c r="E523" i="40"/>
  <c r="E502" i="40"/>
  <c r="E483" i="40"/>
  <c r="E462" i="40"/>
  <c r="E442" i="40"/>
  <c r="E423" i="40"/>
  <c r="E404" i="40"/>
  <c r="E383" i="40"/>
  <c r="E363" i="40"/>
  <c r="E344" i="40"/>
  <c r="E325" i="40"/>
  <c r="E306" i="40"/>
  <c r="E284" i="40"/>
  <c r="E265" i="40"/>
  <c r="E246" i="40"/>
  <c r="E227" i="40"/>
  <c r="E206" i="40"/>
  <c r="E186" i="40"/>
  <c r="E167" i="40"/>
  <c r="E736" i="40"/>
  <c r="E704" i="40"/>
  <c r="E677" i="40"/>
  <c r="E643" i="40"/>
  <c r="E614" i="40"/>
  <c r="E591" i="40"/>
  <c r="E564" i="40"/>
  <c r="E543" i="40"/>
  <c r="E520" i="40"/>
  <c r="E499" i="40"/>
  <c r="E478" i="40"/>
  <c r="E458" i="40"/>
  <c r="E439" i="40"/>
  <c r="E420" i="40"/>
  <c r="E399" i="40"/>
  <c r="E379" i="40"/>
  <c r="E360" i="40"/>
  <c r="E341" i="40"/>
  <c r="E322" i="40"/>
  <c r="E300" i="40"/>
  <c r="E281" i="40"/>
  <c r="E262" i="40"/>
  <c r="E243" i="40"/>
  <c r="E222" i="40"/>
  <c r="E202" i="40"/>
  <c r="E183" i="40"/>
  <c r="E164" i="40"/>
  <c r="E657" i="40"/>
  <c r="E522" i="40"/>
  <c r="E421" i="40"/>
  <c r="E309" i="40"/>
  <c r="E204" i="40"/>
  <c r="E646" i="40"/>
  <c r="E521" i="40"/>
  <c r="E407" i="40"/>
  <c r="E303" i="40"/>
  <c r="E203" i="40"/>
  <c r="E644" i="40"/>
  <c r="E505" i="40"/>
  <c r="E403" i="40"/>
  <c r="E302" i="40"/>
  <c r="E190" i="40"/>
  <c r="E624" i="40"/>
  <c r="E501" i="40"/>
  <c r="E402" i="40"/>
  <c r="E290" i="40"/>
  <c r="E185" i="40"/>
  <c r="E616" i="40"/>
  <c r="E500" i="40"/>
  <c r="E388" i="40"/>
  <c r="E283" i="40"/>
  <c r="E184" i="40"/>
  <c r="E615" i="40"/>
  <c r="E486" i="40"/>
  <c r="E382" i="40"/>
  <c r="E282" i="40"/>
  <c r="E170" i="40"/>
  <c r="E597" i="40"/>
  <c r="E482" i="40"/>
  <c r="E380" i="40"/>
  <c r="E268" i="40"/>
  <c r="E166" i="40"/>
  <c r="E750" i="40"/>
  <c r="E593" i="40"/>
  <c r="E479" i="40"/>
  <c r="E367" i="40"/>
  <c r="E264" i="40"/>
  <c r="E165" i="40"/>
  <c r="E745" i="40"/>
  <c r="E592" i="40"/>
  <c r="E467" i="40"/>
  <c r="E362" i="40"/>
  <c r="E263" i="40"/>
  <c r="E743" i="40"/>
  <c r="E575" i="40"/>
  <c r="E460" i="40"/>
  <c r="E361" i="40"/>
  <c r="E249" i="40"/>
  <c r="E714" i="40"/>
  <c r="E567" i="40"/>
  <c r="E459" i="40"/>
  <c r="E347" i="40"/>
  <c r="E245" i="40"/>
  <c r="E708" i="40"/>
  <c r="E566" i="40"/>
  <c r="E446" i="40"/>
  <c r="E343" i="40"/>
  <c r="E244" i="40"/>
  <c r="E679" i="40"/>
  <c r="E544" i="40"/>
  <c r="E426" i="40"/>
  <c r="E324" i="40"/>
  <c r="E223" i="40"/>
  <c r="E678" i="40"/>
  <c r="E528" i="40"/>
  <c r="E422" i="40"/>
  <c r="E323" i="40"/>
  <c r="E211" i="40"/>
  <c r="E1379" i="40"/>
  <c r="E1370" i="40"/>
  <c r="E1354" i="40"/>
  <c r="E1338" i="40"/>
  <c r="E1322" i="40"/>
  <c r="E1306" i="40"/>
  <c r="E1290" i="40"/>
  <c r="E1274" i="40"/>
  <c r="E1258" i="40"/>
  <c r="E1242" i="40"/>
  <c r="E1226" i="40"/>
  <c r="E1210" i="40"/>
  <c r="E1194" i="40"/>
  <c r="E1178" i="40"/>
  <c r="E1162" i="40"/>
  <c r="E1146" i="40"/>
  <c r="E1130" i="40"/>
  <c r="E1114" i="40"/>
  <c r="E1098" i="40"/>
  <c r="E1082" i="40"/>
  <c r="E1066" i="40"/>
  <c r="E1050" i="40"/>
  <c r="E1034" i="40"/>
  <c r="E1018" i="40"/>
  <c r="E1002" i="40"/>
  <c r="E986" i="40"/>
  <c r="E970" i="40"/>
  <c r="E954" i="40"/>
  <c r="E938" i="40"/>
  <c r="E922" i="40"/>
  <c r="E906" i="40"/>
  <c r="E890" i="40"/>
  <c r="E874" i="40"/>
  <c r="E858" i="40"/>
  <c r="E842" i="40"/>
  <c r="E826" i="40"/>
  <c r="E810" i="40"/>
  <c r="E794" i="40"/>
  <c r="E778" i="40"/>
  <c r="E1366" i="40"/>
  <c r="E1349" i="40"/>
  <c r="E1332" i="40"/>
  <c r="E1315" i="40"/>
  <c r="E1298" i="40"/>
  <c r="E1281" i="40"/>
  <c r="E1264" i="40"/>
  <c r="E1247" i="40"/>
  <c r="E1230" i="40"/>
  <c r="E1213" i="40"/>
  <c r="E1196" i="40"/>
  <c r="E1179" i="40"/>
  <c r="E1161" i="40"/>
  <c r="E1144" i="40"/>
  <c r="E1127" i="40"/>
  <c r="E1110" i="40"/>
  <c r="E1093" i="40"/>
  <c r="E1076" i="40"/>
  <c r="E1059" i="40"/>
  <c r="E1042" i="40"/>
  <c r="E1025" i="40"/>
  <c r="E1008" i="40"/>
  <c r="E991" i="40"/>
  <c r="E974" i="40"/>
  <c r="E957" i="40"/>
  <c r="E940" i="40"/>
  <c r="E923" i="40"/>
  <c r="E905" i="40"/>
  <c r="E888" i="40"/>
  <c r="E871" i="40"/>
  <c r="E854" i="40"/>
  <c r="E837" i="40"/>
  <c r="E820" i="40"/>
  <c r="E803" i="40"/>
  <c r="E786" i="40"/>
  <c r="E1364" i="40"/>
  <c r="E1346" i="40"/>
  <c r="E1328" i="40"/>
  <c r="E1310" i="40"/>
  <c r="E1292" i="40"/>
  <c r="E1273" i="40"/>
  <c r="E1255" i="40"/>
  <c r="E1237" i="40"/>
  <c r="E1219" i="40"/>
  <c r="E1201" i="40"/>
  <c r="E1183" i="40"/>
  <c r="E1165" i="40"/>
  <c r="E1147" i="40"/>
  <c r="E1128" i="40"/>
  <c r="E1109" i="40"/>
  <c r="E1091" i="40"/>
  <c r="E1073" i="40"/>
  <c r="E1055" i="40"/>
  <c r="E1037" i="40"/>
  <c r="E1019" i="40"/>
  <c r="E1000" i="40"/>
  <c r="E982" i="40"/>
  <c r="E964" i="40"/>
  <c r="E946" i="40"/>
  <c r="E928" i="40"/>
  <c r="E910" i="40"/>
  <c r="E892" i="40"/>
  <c r="E873" i="40"/>
  <c r="E855" i="40"/>
  <c r="E836" i="40"/>
  <c r="E818" i="40"/>
  <c r="E800" i="40"/>
  <c r="E782" i="40"/>
  <c r="E1380" i="40"/>
  <c r="E1361" i="40"/>
  <c r="E1343" i="40"/>
  <c r="E1325" i="40"/>
  <c r="E1307" i="40"/>
  <c r="E1288" i="40"/>
  <c r="E1270" i="40"/>
  <c r="E1252" i="40"/>
  <c r="E1234" i="40"/>
  <c r="E1216" i="40"/>
  <c r="E1198" i="40"/>
  <c r="E1180" i="40"/>
  <c r="E1160" i="40"/>
  <c r="E1142" i="40"/>
  <c r="E1124" i="40"/>
  <c r="E1106" i="40"/>
  <c r="E1088" i="40"/>
  <c r="E1070" i="40"/>
  <c r="E1052" i="40"/>
  <c r="E1033" i="40"/>
  <c r="E1015" i="40"/>
  <c r="E997" i="40"/>
  <c r="E979" i="40"/>
  <c r="E961" i="40"/>
  <c r="E943" i="40"/>
  <c r="E925" i="40"/>
  <c r="E907" i="40"/>
  <c r="E887" i="40"/>
  <c r="E869" i="40"/>
  <c r="E851" i="40"/>
  <c r="E833" i="40"/>
  <c r="E815" i="40"/>
  <c r="E797" i="40"/>
  <c r="E779" i="40"/>
  <c r="E1378" i="40"/>
  <c r="E1360" i="40"/>
  <c r="E1342" i="40"/>
  <c r="E1324" i="40"/>
  <c r="E1305" i="40"/>
  <c r="E1287" i="40"/>
  <c r="E1269" i="40"/>
  <c r="E1251" i="40"/>
  <c r="E1233" i="40"/>
  <c r="E1215" i="40"/>
  <c r="E1197" i="40"/>
  <c r="E1177" i="40"/>
  <c r="E1159" i="40"/>
  <c r="E1141" i="40"/>
  <c r="E1123" i="40"/>
  <c r="E1105" i="40"/>
  <c r="E1087" i="40"/>
  <c r="E1069" i="40"/>
  <c r="E1051" i="40"/>
  <c r="E1032" i="40"/>
  <c r="E1014" i="40"/>
  <c r="E996" i="40"/>
  <c r="E978" i="40"/>
  <c r="E960" i="40"/>
  <c r="E942" i="40"/>
  <c r="E924" i="40"/>
  <c r="E904" i="40"/>
  <c r="E886" i="40"/>
  <c r="E868" i="40"/>
  <c r="E850" i="40"/>
  <c r="E832" i="40"/>
  <c r="E814" i="40"/>
  <c r="E796" i="40"/>
  <c r="E777" i="40"/>
  <c r="E1375" i="40"/>
  <c r="E1357" i="40"/>
  <c r="E1339" i="40"/>
  <c r="E1320" i="40"/>
  <c r="E1302" i="40"/>
  <c r="E1284" i="40"/>
  <c r="E1266" i="40"/>
  <c r="E1248" i="40"/>
  <c r="E1229" i="40"/>
  <c r="E1211" i="40"/>
  <c r="E1192" i="40"/>
  <c r="E1174" i="40"/>
  <c r="E1156" i="40"/>
  <c r="E1138" i="40"/>
  <c r="E1120" i="40"/>
  <c r="E1102" i="40"/>
  <c r="E1084" i="40"/>
  <c r="E1065" i="40"/>
  <c r="E1047" i="40"/>
  <c r="E1029" i="40"/>
  <c r="E1011" i="40"/>
  <c r="E993" i="40"/>
  <c r="E975" i="40"/>
  <c r="E956" i="40"/>
  <c r="E937" i="40"/>
  <c r="E919" i="40"/>
  <c r="E901" i="40"/>
  <c r="E883" i="40"/>
  <c r="E865" i="40"/>
  <c r="E847" i="40"/>
  <c r="E829" i="40"/>
  <c r="E811" i="40"/>
  <c r="E792" i="40"/>
  <c r="E1381" i="40"/>
  <c r="E1355" i="40"/>
  <c r="E1331" i="40"/>
  <c r="E1308" i="40"/>
  <c r="E1282" i="40"/>
  <c r="E1259" i="40"/>
  <c r="E1235" i="40"/>
  <c r="E1208" i="40"/>
  <c r="E1186" i="40"/>
  <c r="E1163" i="40"/>
  <c r="E1136" i="40"/>
  <c r="E1113" i="40"/>
  <c r="E1089" i="40"/>
  <c r="E1063" i="40"/>
  <c r="E1040" i="40"/>
  <c r="E1016" i="40"/>
  <c r="E990" i="40"/>
  <c r="E967" i="40"/>
  <c r="E944" i="40"/>
  <c r="E917" i="40"/>
  <c r="E895" i="40"/>
  <c r="E870" i="40"/>
  <c r="E845" i="40"/>
  <c r="E822" i="40"/>
  <c r="E798" i="40"/>
  <c r="E1377" i="40"/>
  <c r="E1353" i="40"/>
  <c r="E1330" i="40"/>
  <c r="E1304" i="40"/>
  <c r="E1280" i="40"/>
  <c r="E1257" i="40"/>
  <c r="E1232" i="40"/>
  <c r="E1207" i="40"/>
  <c r="E1185" i="40"/>
  <c r="E1158" i="40"/>
  <c r="E1135" i="40"/>
  <c r="E1112" i="40"/>
  <c r="E1086" i="40"/>
  <c r="E1062" i="40"/>
  <c r="E1039" i="40"/>
  <c r="E1013" i="40"/>
  <c r="E989" i="40"/>
  <c r="E966" i="40"/>
  <c r="E941" i="40"/>
  <c r="E916" i="40"/>
  <c r="E894" i="40"/>
  <c r="E867" i="40"/>
  <c r="E844" i="40"/>
  <c r="E821" i="40"/>
  <c r="E795" i="40"/>
  <c r="E1376" i="40"/>
  <c r="E1352" i="40"/>
  <c r="E1329" i="40"/>
  <c r="E1303" i="40"/>
  <c r="E1279" i="40"/>
  <c r="E1256" i="40"/>
  <c r="E1231" i="40"/>
  <c r="E1206" i="40"/>
  <c r="E1184" i="40"/>
  <c r="E1157" i="40"/>
  <c r="E1134" i="40"/>
  <c r="E1111" i="40"/>
  <c r="E1085" i="40"/>
  <c r="E1061" i="40"/>
  <c r="E1038" i="40"/>
  <c r="E1012" i="40"/>
  <c r="E988" i="40"/>
  <c r="E965" i="40"/>
  <c r="E939" i="40"/>
  <c r="E915" i="40"/>
  <c r="E893" i="40"/>
  <c r="E866" i="40"/>
  <c r="E843" i="40"/>
  <c r="E819" i="40"/>
  <c r="E793" i="40"/>
  <c r="E1373" i="40"/>
  <c r="E1350" i="40"/>
  <c r="E1326" i="40"/>
  <c r="E1300" i="40"/>
  <c r="E1277" i="40"/>
  <c r="E1253" i="40"/>
  <c r="E1227" i="40"/>
  <c r="E1204" i="40"/>
  <c r="E1181" i="40"/>
  <c r="E1154" i="40"/>
  <c r="E1132" i="40"/>
  <c r="E1107" i="40"/>
  <c r="E1081" i="40"/>
  <c r="E1058" i="40"/>
  <c r="E1035" i="40"/>
  <c r="E1009" i="40"/>
  <c r="E985" i="40"/>
  <c r="E962" i="40"/>
  <c r="E935" i="40"/>
  <c r="E913" i="40"/>
  <c r="E889" i="40"/>
  <c r="E863" i="40"/>
  <c r="E840" i="40"/>
  <c r="E816" i="40"/>
  <c r="E790" i="40"/>
  <c r="E1371" i="40"/>
  <c r="E1347" i="40"/>
  <c r="E1321" i="40"/>
  <c r="E1297" i="40"/>
  <c r="E1275" i="40"/>
  <c r="E1249" i="40"/>
  <c r="E1224" i="40"/>
  <c r="E1202" i="40"/>
  <c r="E1175" i="40"/>
  <c r="E1152" i="40"/>
  <c r="E1129" i="40"/>
  <c r="E1103" i="40"/>
  <c r="E1079" i="40"/>
  <c r="E1056" i="40"/>
  <c r="E1030" i="40"/>
  <c r="E1006" i="40"/>
  <c r="E983" i="40"/>
  <c r="E958" i="40"/>
  <c r="E933" i="40"/>
  <c r="E911" i="40"/>
  <c r="E884" i="40"/>
  <c r="E861" i="40"/>
  <c r="E838" i="40"/>
  <c r="E812" i="40"/>
  <c r="E788" i="40"/>
  <c r="E1369" i="40"/>
  <c r="E1345" i="40"/>
  <c r="E1319" i="40"/>
  <c r="E1296" i="40"/>
  <c r="E1272" i="40"/>
  <c r="E1246" i="40"/>
  <c r="E1223" i="40"/>
  <c r="E1200" i="40"/>
  <c r="E1173" i="40"/>
  <c r="E1151" i="40"/>
  <c r="E1126" i="40"/>
  <c r="E1101" i="40"/>
  <c r="E1078" i="40"/>
  <c r="E1363" i="40"/>
  <c r="E1337" i="40"/>
  <c r="E1314" i="40"/>
  <c r="E1291" i="40"/>
  <c r="E1265" i="40"/>
  <c r="E1241" i="40"/>
  <c r="E1218" i="40"/>
  <c r="E1191" i="40"/>
  <c r="E1169" i="40"/>
  <c r="E1145" i="40"/>
  <c r="E1119" i="40"/>
  <c r="E1096" i="40"/>
  <c r="E1072" i="40"/>
  <c r="E1046" i="40"/>
  <c r="E1023" i="40"/>
  <c r="E999" i="40"/>
  <c r="E973" i="40"/>
  <c r="E950" i="40"/>
  <c r="E927" i="40"/>
  <c r="E900" i="40"/>
  <c r="E878" i="40"/>
  <c r="E853" i="40"/>
  <c r="E828" i="40"/>
  <c r="E805" i="40"/>
  <c r="E781" i="40"/>
  <c r="E1362" i="40"/>
  <c r="E1336" i="40"/>
  <c r="E1313" i="40"/>
  <c r="E1289" i="40"/>
  <c r="E1263" i="40"/>
  <c r="E1240" i="40"/>
  <c r="E1217" i="40"/>
  <c r="E1190" i="40"/>
  <c r="E1168" i="40"/>
  <c r="E1143" i="40"/>
  <c r="E1118" i="40"/>
  <c r="E1095" i="40"/>
  <c r="E1071" i="40"/>
  <c r="E1045" i="40"/>
  <c r="E1022" i="40"/>
  <c r="E998" i="40"/>
  <c r="E972" i="40"/>
  <c r="E949" i="40"/>
  <c r="E926" i="40"/>
  <c r="E899" i="40"/>
  <c r="E877" i="40"/>
  <c r="E852" i="40"/>
  <c r="E827" i="40"/>
  <c r="E804" i="40"/>
  <c r="E780" i="40"/>
  <c r="E1351" i="40"/>
  <c r="E1301" i="40"/>
  <c r="E1254" i="40"/>
  <c r="E1205" i="40"/>
  <c r="E1155" i="40"/>
  <c r="E1108" i="40"/>
  <c r="E1060" i="40"/>
  <c r="E1020" i="40"/>
  <c r="E976" i="40"/>
  <c r="E931" i="40"/>
  <c r="E885" i="40"/>
  <c r="E846" i="40"/>
  <c r="E802" i="40"/>
  <c r="E1348" i="40"/>
  <c r="E1299" i="40"/>
  <c r="E1250" i="40"/>
  <c r="E1203" i="40"/>
  <c r="E1153" i="40"/>
  <c r="E1104" i="40"/>
  <c r="E1057" i="40"/>
  <c r="E1017" i="40"/>
  <c r="E971" i="40"/>
  <c r="E930" i="40"/>
  <c r="E882" i="40"/>
  <c r="E841" i="40"/>
  <c r="E801" i="40"/>
  <c r="E1344" i="40"/>
  <c r="E1295" i="40"/>
  <c r="E1245" i="40"/>
  <c r="E1199" i="40"/>
  <c r="E1150" i="40"/>
  <c r="E1100" i="40"/>
  <c r="E1054" i="40"/>
  <c r="E1010" i="40"/>
  <c r="E969" i="40"/>
  <c r="E929" i="40"/>
  <c r="E881" i="40"/>
  <c r="E839" i="40"/>
  <c r="E799" i="40"/>
  <c r="E1341" i="40"/>
  <c r="E1294" i="40"/>
  <c r="E1244" i="40"/>
  <c r="E1195" i="40"/>
  <c r="E1149" i="40"/>
  <c r="E1099" i="40"/>
  <c r="E1053" i="40"/>
  <c r="E1007" i="40"/>
  <c r="E968" i="40"/>
  <c r="E921" i="40"/>
  <c r="E880" i="40"/>
  <c r="E835" i="40"/>
  <c r="E791" i="40"/>
  <c r="E1340" i="40"/>
  <c r="E1293" i="40"/>
  <c r="E1243" i="40"/>
  <c r="E1193" i="40"/>
  <c r="E1148" i="40"/>
  <c r="E1097" i="40"/>
  <c r="E1049" i="40"/>
  <c r="E1005" i="40"/>
  <c r="E963" i="40"/>
  <c r="E920" i="40"/>
  <c r="E879" i="40"/>
  <c r="E834" i="40"/>
  <c r="E789" i="40"/>
  <c r="E1335" i="40"/>
  <c r="E1286" i="40"/>
  <c r="E1239" i="40"/>
  <c r="E1189" i="40"/>
  <c r="E1140" i="40"/>
  <c r="E1094" i="40"/>
  <c r="E1048" i="40"/>
  <c r="E1004" i="40"/>
  <c r="E959" i="40"/>
  <c r="E918" i="40"/>
  <c r="E876" i="40"/>
  <c r="E831" i="40"/>
  <c r="E787" i="40"/>
  <c r="E1334" i="40"/>
  <c r="E1285" i="40"/>
  <c r="E1238" i="40"/>
  <c r="E1188" i="40"/>
  <c r="E1139" i="40"/>
  <c r="E1092" i="40"/>
  <c r="E1044" i="40"/>
  <c r="E1003" i="40"/>
  <c r="E955" i="40"/>
  <c r="E914" i="40"/>
  <c r="E875" i="40"/>
  <c r="E830" i="40"/>
  <c r="E785" i="40"/>
  <c r="E1382" i="40"/>
  <c r="E1333" i="40"/>
  <c r="E1283" i="40"/>
  <c r="E1236" i="40"/>
  <c r="E1187" i="40"/>
  <c r="E1137" i="40"/>
  <c r="E1090" i="40"/>
  <c r="E1043" i="40"/>
  <c r="E1001" i="40"/>
  <c r="E953" i="40"/>
  <c r="E912" i="40"/>
  <c r="E872" i="40"/>
  <c r="E825" i="40"/>
  <c r="E784" i="40"/>
  <c r="E1374" i="40"/>
  <c r="E1327" i="40"/>
  <c r="E1278" i="40"/>
  <c r="E1228" i="40"/>
  <c r="E1182" i="40"/>
  <c r="E1133" i="40"/>
  <c r="E1083" i="40"/>
  <c r="E1041" i="40"/>
  <c r="E995" i="40"/>
  <c r="E952" i="40"/>
  <c r="E909" i="40"/>
  <c r="E864" i="40"/>
  <c r="E824" i="40"/>
  <c r="E783" i="40"/>
  <c r="E1368" i="40"/>
  <c r="E1318" i="40"/>
  <c r="E1271" i="40"/>
  <c r="E1222" i="40"/>
  <c r="E1172" i="40"/>
  <c r="E1125" i="40"/>
  <c r="E1077" i="40"/>
  <c r="E1031" i="40"/>
  <c r="E992" i="40"/>
  <c r="E948" i="40"/>
  <c r="E903" i="40"/>
  <c r="E860" i="40"/>
  <c r="E817" i="40"/>
  <c r="E1367" i="40"/>
  <c r="E1317" i="40"/>
  <c r="E1268" i="40"/>
  <c r="E1221" i="40"/>
  <c r="E1171" i="40"/>
  <c r="E1122" i="40"/>
  <c r="E1075" i="40"/>
  <c r="E1028" i="40"/>
  <c r="E987" i="40"/>
  <c r="E947" i="40"/>
  <c r="E902" i="40"/>
  <c r="E859" i="40"/>
  <c r="E813" i="40"/>
  <c r="E1365" i="40"/>
  <c r="E1316" i="40"/>
  <c r="E1267" i="40"/>
  <c r="E1220" i="40"/>
  <c r="E1170" i="40"/>
  <c r="E1121" i="40"/>
  <c r="E1074" i="40"/>
  <c r="E1027" i="40"/>
  <c r="E984" i="40"/>
  <c r="E945" i="40"/>
  <c r="E898" i="40"/>
  <c r="E857" i="40"/>
  <c r="E809" i="40"/>
  <c r="E1356" i="40"/>
  <c r="E1309" i="40"/>
  <c r="E1260" i="40"/>
  <c r="E1209" i="40"/>
  <c r="E1164" i="40"/>
  <c r="E1115" i="40"/>
  <c r="E1064" i="40"/>
  <c r="E1021" i="40"/>
  <c r="E977" i="40"/>
  <c r="E932" i="40"/>
  <c r="E891" i="40"/>
  <c r="E848" i="40"/>
  <c r="E806" i="40"/>
  <c r="E1323" i="40"/>
  <c r="E1068" i="40"/>
  <c r="E849" i="40"/>
  <c r="E1312" i="40"/>
  <c r="E1067" i="40"/>
  <c r="E823" i="40"/>
  <c r="E1311" i="40"/>
  <c r="E1036" i="40"/>
  <c r="E808" i="40"/>
  <c r="E1276" i="40"/>
  <c r="E1026" i="40"/>
  <c r="E807" i="40"/>
  <c r="E1262" i="40"/>
  <c r="E1024" i="40"/>
  <c r="E1261" i="40"/>
  <c r="E994" i="40"/>
  <c r="E1225" i="40"/>
  <c r="E981" i="40"/>
  <c r="E1214" i="40"/>
  <c r="E980" i="40"/>
  <c r="E1212" i="40"/>
  <c r="E951" i="40"/>
  <c r="E1176" i="40"/>
  <c r="E936" i="40"/>
  <c r="E1167" i="40"/>
  <c r="E934" i="40"/>
  <c r="E1166" i="40"/>
  <c r="E908" i="40"/>
  <c r="E1359" i="40"/>
  <c r="E1116" i="40"/>
  <c r="E862" i="40"/>
  <c r="E1358" i="40"/>
  <c r="E1080" i="40"/>
  <c r="E856" i="40"/>
  <c r="J48" i="19"/>
  <c r="E42" i="28"/>
  <c r="AQ9" i="31"/>
  <c r="N11" i="32"/>
  <c r="E1117" i="40"/>
  <c r="H239" i="41"/>
  <c r="BG7" i="44"/>
  <c r="AH10" i="42"/>
  <c r="AH10" i="43"/>
  <c r="AH25" i="40"/>
  <c r="BG9" i="31"/>
  <c r="AG9" i="32"/>
  <c r="L21" i="24"/>
  <c r="E1131" i="40"/>
  <c r="S5" i="37"/>
  <c r="J6" i="37"/>
  <c r="H34" i="41"/>
  <c r="K12" i="43"/>
  <c r="M9" i="44"/>
  <c r="K12" i="42"/>
  <c r="K27" i="40"/>
  <c r="J11" i="32"/>
  <c r="BG8" i="44"/>
  <c r="AH11" i="43"/>
  <c r="AH11" i="42"/>
  <c r="H240" i="41"/>
  <c r="AH26" i="40"/>
  <c r="BG10" i="31"/>
  <c r="BG27" i="33"/>
  <c r="H178" i="41"/>
  <c r="AS9" i="44"/>
  <c r="AA12" i="43"/>
  <c r="AA27" i="40"/>
  <c r="AA12" i="42"/>
  <c r="Z11" i="32"/>
  <c r="Y8" i="44"/>
  <c r="Q11" i="42"/>
  <c r="Q11" i="43"/>
  <c r="H87" i="41"/>
  <c r="Q26" i="40"/>
  <c r="Y10" i="31"/>
  <c r="L11" i="43"/>
  <c r="O8" i="44"/>
  <c r="L11" i="42"/>
  <c r="H42" i="41"/>
  <c r="L26" i="40"/>
  <c r="O27" i="33"/>
  <c r="K10" i="32"/>
  <c r="L12" i="43"/>
  <c r="H43" i="41"/>
  <c r="O9" i="44"/>
  <c r="L12" i="42"/>
  <c r="L27" i="40"/>
  <c r="O11" i="31"/>
  <c r="P22" i="4"/>
  <c r="AI11" i="43"/>
  <c r="AI11" i="42"/>
  <c r="H249" i="41"/>
  <c r="BI8" i="44"/>
  <c r="BI27" i="33"/>
  <c r="AH10" i="32"/>
  <c r="AI26" i="40"/>
  <c r="I49" i="23"/>
  <c r="U11" i="32"/>
  <c r="U28" i="33"/>
  <c r="T26" i="40"/>
  <c r="E1372" i="40"/>
  <c r="W9" i="44"/>
  <c r="P12" i="43"/>
  <c r="P12" i="42"/>
  <c r="H79" i="41"/>
  <c r="P27" i="40"/>
  <c r="W11" i="31"/>
  <c r="W28" i="33"/>
  <c r="BA8" i="44"/>
  <c r="AE11" i="42"/>
  <c r="AE11" i="43"/>
  <c r="AE26" i="40"/>
  <c r="H213" i="41"/>
  <c r="BA10" i="31"/>
  <c r="BA27" i="33"/>
  <c r="Y7" i="44"/>
  <c r="Q10" i="43"/>
  <c r="H86" i="41"/>
  <c r="Q10" i="42"/>
  <c r="Q25" i="40"/>
  <c r="Y9" i="31"/>
  <c r="Y26" i="33"/>
  <c r="H214" i="41"/>
  <c r="BA9" i="44"/>
  <c r="AE12" i="43"/>
  <c r="AE12" i="42"/>
  <c r="AE27" i="40"/>
  <c r="BA11" i="31"/>
  <c r="BQ9" i="44"/>
  <c r="AM12" i="43"/>
  <c r="AM12" i="42"/>
  <c r="H286" i="41"/>
  <c r="AM27" i="40"/>
  <c r="BQ28" i="33"/>
  <c r="AL11" i="32"/>
  <c r="S44" i="37"/>
  <c r="J45" i="37"/>
  <c r="P34" i="4"/>
  <c r="D4" i="4"/>
  <c r="P17" i="4"/>
  <c r="AA8" i="44"/>
  <c r="R11" i="43"/>
  <c r="R11" i="42"/>
  <c r="H96" i="41"/>
  <c r="R26" i="40"/>
  <c r="AA10" i="31"/>
  <c r="AA27" i="33"/>
  <c r="H250" i="41"/>
  <c r="BI9" i="44"/>
  <c r="AI12" i="43"/>
  <c r="AI12" i="42"/>
  <c r="AI27" i="40"/>
  <c r="BI11" i="31"/>
  <c r="BI28" i="33"/>
  <c r="AH11" i="32"/>
  <c r="AM9" i="44"/>
  <c r="X12" i="43"/>
  <c r="X12" i="42"/>
  <c r="H151" i="41"/>
  <c r="X27" i="40"/>
  <c r="AM28" i="33"/>
  <c r="W11" i="32"/>
  <c r="AU9" i="44"/>
  <c r="AB12" i="42"/>
  <c r="H187" i="41"/>
  <c r="AB12" i="43"/>
  <c r="AB27" i="40"/>
  <c r="AU11" i="31"/>
  <c r="BC9" i="44"/>
  <c r="AF12" i="43"/>
  <c r="AF12" i="42"/>
  <c r="H223" i="41"/>
  <c r="BC11" i="31"/>
  <c r="BC28" i="33"/>
  <c r="BS9" i="44"/>
  <c r="AN12" i="43"/>
  <c r="AN12" i="42"/>
  <c r="H295" i="41"/>
  <c r="AN27" i="40"/>
  <c r="BS28" i="33"/>
  <c r="AM11" i="32"/>
  <c r="E3" i="11"/>
  <c r="AA16" i="12"/>
  <c r="J52" i="13"/>
  <c r="AY9" i="31"/>
  <c r="AA11" i="32"/>
  <c r="BG26" i="33"/>
  <c r="AS28" i="33"/>
  <c r="J6" i="36"/>
  <c r="S5" i="36"/>
  <c r="E1414" i="40"/>
  <c r="O7" i="44"/>
  <c r="L10" i="43"/>
  <c r="L10" i="42"/>
  <c r="H41" i="41"/>
  <c r="O26" i="33"/>
  <c r="K9" i="32"/>
  <c r="L25" i="40"/>
  <c r="BG9" i="44"/>
  <c r="AH12" i="43"/>
  <c r="H241" i="41"/>
  <c r="AH12" i="42"/>
  <c r="AH27" i="40"/>
  <c r="BG11" i="31"/>
  <c r="BG28" i="33"/>
  <c r="AG11" i="32"/>
  <c r="O20" i="24"/>
  <c r="AD44" i="19"/>
  <c r="Q12" i="42"/>
  <c r="Y9" i="44"/>
  <c r="Q12" i="43"/>
  <c r="H88" i="41"/>
  <c r="Q27" i="40"/>
  <c r="Y28" i="33"/>
  <c r="P11" i="32"/>
  <c r="P27" i="4"/>
  <c r="P42" i="4"/>
  <c r="P50" i="4"/>
  <c r="P58" i="4"/>
  <c r="M11" i="42"/>
  <c r="Q8" i="44"/>
  <c r="M11" i="43"/>
  <c r="H51" i="41"/>
  <c r="L10" i="32"/>
  <c r="M26" i="40"/>
  <c r="AA9" i="44"/>
  <c r="R12" i="43"/>
  <c r="H97" i="41"/>
  <c r="R27" i="40"/>
  <c r="AA11" i="31"/>
  <c r="AA28" i="33"/>
  <c r="Q11" i="32"/>
  <c r="R12" i="42"/>
  <c r="P28" i="4"/>
  <c r="P59" i="4"/>
  <c r="I47" i="21"/>
  <c r="J48" i="21"/>
  <c r="S43" i="19"/>
  <c r="J50" i="23"/>
  <c r="N10" i="32"/>
  <c r="AU28" i="33"/>
  <c r="E226" i="40"/>
  <c r="E1830" i="40"/>
  <c r="AC7" i="44"/>
  <c r="S10" i="42"/>
  <c r="S10" i="43"/>
  <c r="AC9" i="31"/>
  <c r="H104" i="41"/>
  <c r="K46" i="36"/>
  <c r="S46" i="36" s="1"/>
  <c r="S45" i="36"/>
  <c r="J45" i="53"/>
  <c r="S44" i="53"/>
  <c r="K11" i="31"/>
  <c r="P10" i="32"/>
  <c r="AD11" i="32"/>
  <c r="AY28" i="33"/>
  <c r="E230" i="40"/>
  <c r="Q9" i="44"/>
  <c r="M12" i="43"/>
  <c r="M12" i="42"/>
  <c r="M27" i="40"/>
  <c r="H52" i="41"/>
  <c r="Q11" i="31"/>
  <c r="Q28" i="33"/>
  <c r="BK8" i="44"/>
  <c r="AJ11" i="42"/>
  <c r="AJ11" i="43"/>
  <c r="H258" i="41"/>
  <c r="BK10" i="31"/>
  <c r="BK27" i="33"/>
  <c r="AI10" i="32"/>
  <c r="AJ26" i="40"/>
  <c r="P36" i="4"/>
  <c r="P44" i="4"/>
  <c r="S11" i="43"/>
  <c r="S11" i="42"/>
  <c r="AC8" i="44"/>
  <c r="H105" i="41"/>
  <c r="AC27" i="33"/>
  <c r="R10" i="32"/>
  <c r="S26" i="40"/>
  <c r="AJ12" i="42"/>
  <c r="BK9" i="44"/>
  <c r="AJ12" i="43"/>
  <c r="H259" i="41"/>
  <c r="AJ27" i="40"/>
  <c r="BK11" i="31"/>
  <c r="BK28" i="33"/>
  <c r="AI11" i="32"/>
  <c r="BU9" i="44"/>
  <c r="AO12" i="43"/>
  <c r="AO12" i="42"/>
  <c r="H304" i="41"/>
  <c r="AO27" i="40"/>
  <c r="AN11" i="32"/>
  <c r="BU11" i="31"/>
  <c r="BU28" i="33"/>
  <c r="E1988" i="40"/>
  <c r="E1972" i="40"/>
  <c r="E1956" i="40"/>
  <c r="E1940" i="40"/>
  <c r="E1924" i="40"/>
  <c r="E1908" i="40"/>
  <c r="E1892" i="40"/>
  <c r="E1876" i="40"/>
  <c r="E1860" i="40"/>
  <c r="E1844" i="40"/>
  <c r="E1828" i="40"/>
  <c r="E1812" i="40"/>
  <c r="E1796" i="40"/>
  <c r="E1780" i="40"/>
  <c r="E1764" i="40"/>
  <c r="E1748" i="40"/>
  <c r="E1732" i="40"/>
  <c r="E1716" i="40"/>
  <c r="E1700" i="40"/>
  <c r="E1684" i="40"/>
  <c r="E1668" i="40"/>
  <c r="E1652" i="40"/>
  <c r="E1636" i="40"/>
  <c r="E1620" i="40"/>
  <c r="E1604" i="40"/>
  <c r="E1588" i="40"/>
  <c r="E1572" i="40"/>
  <c r="E1556" i="40"/>
  <c r="E1540" i="40"/>
  <c r="E1524" i="40"/>
  <c r="E1508" i="40"/>
  <c r="E1492" i="40"/>
  <c r="E1476" i="40"/>
  <c r="E1460" i="40"/>
  <c r="E1444" i="40"/>
  <c r="E1428" i="40"/>
  <c r="E1412" i="40"/>
  <c r="E1396" i="40"/>
  <c r="E1987" i="40"/>
  <c r="E1971" i="40"/>
  <c r="E1955" i="40"/>
  <c r="E1939" i="40"/>
  <c r="E1923" i="40"/>
  <c r="E1907" i="40"/>
  <c r="E1891" i="40"/>
  <c r="E1875" i="40"/>
  <c r="E1859" i="40"/>
  <c r="E1843" i="40"/>
  <c r="E1827" i="40"/>
  <c r="E1811" i="40"/>
  <c r="E1795" i="40"/>
  <c r="E1779" i="40"/>
  <c r="E1763" i="40"/>
  <c r="E1747" i="40"/>
  <c r="E1731" i="40"/>
  <c r="E1715" i="40"/>
  <c r="E1699" i="40"/>
  <c r="E1683" i="40"/>
  <c r="E1667" i="40"/>
  <c r="E1651" i="40"/>
  <c r="E1635" i="40"/>
  <c r="E1619" i="40"/>
  <c r="E1603" i="40"/>
  <c r="E1587" i="40"/>
  <c r="E1571" i="40"/>
  <c r="E1555" i="40"/>
  <c r="E1539" i="40"/>
  <c r="E1523" i="40"/>
  <c r="E1507" i="40"/>
  <c r="E1491" i="40"/>
  <c r="E1475" i="40"/>
  <c r="E1459" i="40"/>
  <c r="E1443" i="40"/>
  <c r="E1427" i="40"/>
  <c r="E1411" i="40"/>
  <c r="E1395" i="40"/>
  <c r="E1983" i="40"/>
  <c r="E1967" i="40"/>
  <c r="E1951" i="40"/>
  <c r="E1935" i="40"/>
  <c r="E1919" i="40"/>
  <c r="E1903" i="40"/>
  <c r="E1887" i="40"/>
  <c r="E1871" i="40"/>
  <c r="E1855" i="40"/>
  <c r="E1839" i="40"/>
  <c r="E1823" i="40"/>
  <c r="E1807" i="40"/>
  <c r="E1791" i="40"/>
  <c r="E1775" i="40"/>
  <c r="E1759" i="40"/>
  <c r="E1743" i="40"/>
  <c r="E1727" i="40"/>
  <c r="E1711" i="40"/>
  <c r="E1695" i="40"/>
  <c r="E1679" i="40"/>
  <c r="E1663" i="40"/>
  <c r="E1647" i="40"/>
  <c r="E1631" i="40"/>
  <c r="E1615" i="40"/>
  <c r="E1599" i="40"/>
  <c r="E1583" i="40"/>
  <c r="E1567" i="40"/>
  <c r="E1551" i="40"/>
  <c r="E1535" i="40"/>
  <c r="E1519" i="40"/>
  <c r="E1503" i="40"/>
  <c r="E1981" i="40"/>
  <c r="E1965" i="40"/>
  <c r="E1949" i="40"/>
  <c r="E1933" i="40"/>
  <c r="E1917" i="40"/>
  <c r="E1901" i="40"/>
  <c r="E1885" i="40"/>
  <c r="E1869" i="40"/>
  <c r="E1853" i="40"/>
  <c r="E1837" i="40"/>
  <c r="E1821" i="40"/>
  <c r="E1805" i="40"/>
  <c r="E1789" i="40"/>
  <c r="E1773" i="40"/>
  <c r="E1757" i="40"/>
  <c r="E1741" i="40"/>
  <c r="E1725" i="40"/>
  <c r="E1709" i="40"/>
  <c r="E1693" i="40"/>
  <c r="E1677" i="40"/>
  <c r="E1661" i="40"/>
  <c r="E1645" i="40"/>
  <c r="E1629" i="40"/>
  <c r="E1613" i="40"/>
  <c r="E1597" i="40"/>
  <c r="E1581" i="40"/>
  <c r="E1565" i="40"/>
  <c r="E1549" i="40"/>
  <c r="E1533" i="40"/>
  <c r="E1517" i="40"/>
  <c r="E1501" i="40"/>
  <c r="E1485" i="40"/>
  <c r="E1469" i="40"/>
  <c r="E1453" i="40"/>
  <c r="E1437" i="40"/>
  <c r="E1421" i="40"/>
  <c r="E1405" i="40"/>
  <c r="E1980" i="40"/>
  <c r="E1964" i="40"/>
  <c r="E1948" i="40"/>
  <c r="E1932" i="40"/>
  <c r="E1916" i="40"/>
  <c r="E1900" i="40"/>
  <c r="E1884" i="40"/>
  <c r="E1868" i="40"/>
  <c r="E1852" i="40"/>
  <c r="E1836" i="40"/>
  <c r="E1820" i="40"/>
  <c r="E1804" i="40"/>
  <c r="E1788" i="40"/>
  <c r="E1772" i="40"/>
  <c r="E1756" i="40"/>
  <c r="E1740" i="40"/>
  <c r="E1724" i="40"/>
  <c r="E1708" i="40"/>
  <c r="E1692" i="40"/>
  <c r="E1676" i="40"/>
  <c r="E1660" i="40"/>
  <c r="E1644" i="40"/>
  <c r="E1628" i="40"/>
  <c r="E1612" i="40"/>
  <c r="E1596" i="40"/>
  <c r="E1580" i="40"/>
  <c r="E1564" i="40"/>
  <c r="E1548" i="40"/>
  <c r="E1532" i="40"/>
  <c r="E1516" i="40"/>
  <c r="E1500" i="40"/>
  <c r="E1484" i="40"/>
  <c r="E1468" i="40"/>
  <c r="E1452" i="40"/>
  <c r="E1436" i="40"/>
  <c r="E1420" i="40"/>
  <c r="E1404" i="40"/>
  <c r="E1979" i="40"/>
  <c r="E1958" i="40"/>
  <c r="E1934" i="40"/>
  <c r="E1911" i="40"/>
  <c r="E1888" i="40"/>
  <c r="E1864" i="40"/>
  <c r="E1841" i="40"/>
  <c r="E1817" i="40"/>
  <c r="E1794" i="40"/>
  <c r="E1770" i="40"/>
  <c r="E1749" i="40"/>
  <c r="E1723" i="40"/>
  <c r="E1702" i="40"/>
  <c r="E1678" i="40"/>
  <c r="E1655" i="40"/>
  <c r="E1632" i="40"/>
  <c r="E1608" i="40"/>
  <c r="E1585" i="40"/>
  <c r="E1561" i="40"/>
  <c r="E1538" i="40"/>
  <c r="E1514" i="40"/>
  <c r="E1493" i="40"/>
  <c r="E1471" i="40"/>
  <c r="E1449" i="40"/>
  <c r="E1429" i="40"/>
  <c r="E1407" i="40"/>
  <c r="E1387" i="40"/>
  <c r="E1968" i="40"/>
  <c r="E1943" i="40"/>
  <c r="E1918" i="40"/>
  <c r="E1894" i="40"/>
  <c r="E1867" i="40"/>
  <c r="E1845" i="40"/>
  <c r="E1818" i="40"/>
  <c r="E1793" i="40"/>
  <c r="E1768" i="40"/>
  <c r="E1744" i="40"/>
  <c r="E1719" i="40"/>
  <c r="E1694" i="40"/>
  <c r="E1670" i="40"/>
  <c r="E1643" i="40"/>
  <c r="E1621" i="40"/>
  <c r="E1594" i="40"/>
  <c r="E1570" i="40"/>
  <c r="E1545" i="40"/>
  <c r="E1521" i="40"/>
  <c r="E1496" i="40"/>
  <c r="E1473" i="40"/>
  <c r="E1450" i="40"/>
  <c r="E1426" i="40"/>
  <c r="E1403" i="40"/>
  <c r="E1978" i="40"/>
  <c r="E1953" i="40"/>
  <c r="E1927" i="40"/>
  <c r="E1899" i="40"/>
  <c r="E1874" i="40"/>
  <c r="E1848" i="40"/>
  <c r="E1822" i="40"/>
  <c r="E1797" i="40"/>
  <c r="E1767" i="40"/>
  <c r="E1739" i="40"/>
  <c r="E1714" i="40"/>
  <c r="E1688" i="40"/>
  <c r="E1662" i="40"/>
  <c r="E1637" i="40"/>
  <c r="E1609" i="40"/>
  <c r="E1582" i="40"/>
  <c r="E1557" i="40"/>
  <c r="E1529" i="40"/>
  <c r="E1504" i="40"/>
  <c r="E1479" i="40"/>
  <c r="E1455" i="40"/>
  <c r="E1431" i="40"/>
  <c r="E1406" i="40"/>
  <c r="E1977" i="40"/>
  <c r="E1975" i="40"/>
  <c r="E1947" i="40"/>
  <c r="E1922" i="40"/>
  <c r="E1896" i="40"/>
  <c r="E1870" i="40"/>
  <c r="E1842" i="40"/>
  <c r="E1815" i="40"/>
  <c r="E1787" i="40"/>
  <c r="E1762" i="40"/>
  <c r="E1736" i="40"/>
  <c r="E1710" i="40"/>
  <c r="E1685" i="40"/>
  <c r="E1657" i="40"/>
  <c r="E1630" i="40"/>
  <c r="E1605" i="40"/>
  <c r="E1577" i="40"/>
  <c r="E1552" i="40"/>
  <c r="E1526" i="40"/>
  <c r="E1498" i="40"/>
  <c r="E1474" i="40"/>
  <c r="E1448" i="40"/>
  <c r="E1424" i="40"/>
  <c r="E1400" i="40"/>
  <c r="E1974" i="40"/>
  <c r="E1946" i="40"/>
  <c r="E1921" i="40"/>
  <c r="E1895" i="40"/>
  <c r="E1866" i="40"/>
  <c r="E1840" i="40"/>
  <c r="E1814" i="40"/>
  <c r="E1786" i="40"/>
  <c r="E1761" i="40"/>
  <c r="E1735" i="40"/>
  <c r="E1707" i="40"/>
  <c r="E1682" i="40"/>
  <c r="E1656" i="40"/>
  <c r="E1627" i="40"/>
  <c r="E1602" i="40"/>
  <c r="E1576" i="40"/>
  <c r="E1550" i="40"/>
  <c r="E1525" i="40"/>
  <c r="E1497" i="40"/>
  <c r="E1472" i="40"/>
  <c r="E1447" i="40"/>
  <c r="E1423" i="40"/>
  <c r="E1399" i="40"/>
  <c r="E1969" i="40"/>
  <c r="E1942" i="40"/>
  <c r="E1914" i="40"/>
  <c r="E1889" i="40"/>
  <c r="E1862" i="40"/>
  <c r="E1834" i="40"/>
  <c r="E1809" i="40"/>
  <c r="E1783" i="40"/>
  <c r="E1755" i="40"/>
  <c r="E1730" i="40"/>
  <c r="E1704" i="40"/>
  <c r="E1675" i="40"/>
  <c r="E1650" i="40"/>
  <c r="E1624" i="40"/>
  <c r="E1598" i="40"/>
  <c r="E1573" i="40"/>
  <c r="E1544" i="40"/>
  <c r="E1518" i="40"/>
  <c r="E1490" i="40"/>
  <c r="E1466" i="40"/>
  <c r="E1442" i="40"/>
  <c r="E1418" i="40"/>
  <c r="E1394" i="40"/>
  <c r="E1963" i="40"/>
  <c r="E1930" i="40"/>
  <c r="E1897" i="40"/>
  <c r="E1858" i="40"/>
  <c r="E1826" i="40"/>
  <c r="E1790" i="40"/>
  <c r="E1753" i="40"/>
  <c r="E1720" i="40"/>
  <c r="E1686" i="40"/>
  <c r="E1648" i="40"/>
  <c r="E1614" i="40"/>
  <c r="E1578" i="40"/>
  <c r="E1542" i="40"/>
  <c r="E1509" i="40"/>
  <c r="E1477" i="40"/>
  <c r="E1440" i="40"/>
  <c r="E1410" i="40"/>
  <c r="E1962" i="40"/>
  <c r="E1929" i="40"/>
  <c r="E1893" i="40"/>
  <c r="E1857" i="40"/>
  <c r="E1825" i="40"/>
  <c r="E1785" i="40"/>
  <c r="E1752" i="40"/>
  <c r="E1718" i="40"/>
  <c r="E1681" i="40"/>
  <c r="E1646" i="40"/>
  <c r="E1611" i="40"/>
  <c r="E1575" i="40"/>
  <c r="E1541" i="40"/>
  <c r="E1506" i="40"/>
  <c r="E1470" i="40"/>
  <c r="E1439" i="40"/>
  <c r="E1409" i="40"/>
  <c r="E1961" i="40"/>
  <c r="E1928" i="40"/>
  <c r="E1890" i="40"/>
  <c r="E1856" i="40"/>
  <c r="E1824" i="40"/>
  <c r="E1784" i="40"/>
  <c r="E1751" i="40"/>
  <c r="E1717" i="40"/>
  <c r="E1680" i="40"/>
  <c r="E1642" i="40"/>
  <c r="E1610" i="40"/>
  <c r="E1574" i="40"/>
  <c r="E1537" i="40"/>
  <c r="E1505" i="40"/>
  <c r="E1467" i="40"/>
  <c r="E1438" i="40"/>
  <c r="E1408" i="40"/>
  <c r="E1959" i="40"/>
  <c r="E1925" i="40"/>
  <c r="E1883" i="40"/>
  <c r="E1851" i="40"/>
  <c r="E1816" i="40"/>
  <c r="E1781" i="40"/>
  <c r="E1746" i="40"/>
  <c r="E1712" i="40"/>
  <c r="E1673" i="40"/>
  <c r="E1640" i="40"/>
  <c r="E1606" i="40"/>
  <c r="E1568" i="40"/>
  <c r="E1534" i="40"/>
  <c r="E1499" i="40"/>
  <c r="E1464" i="40"/>
  <c r="E1434" i="40"/>
  <c r="E1401" i="40"/>
  <c r="E1990" i="40"/>
  <c r="E1954" i="40"/>
  <c r="E1915" i="40"/>
  <c r="E1881" i="40"/>
  <c r="E1849" i="40"/>
  <c r="E1810" i="40"/>
  <c r="E1777" i="40"/>
  <c r="E1742" i="40"/>
  <c r="E1705" i="40"/>
  <c r="E1671" i="40"/>
  <c r="E1638" i="40"/>
  <c r="E1600" i="40"/>
  <c r="E1563" i="40"/>
  <c r="E1530" i="40"/>
  <c r="E1494" i="40"/>
  <c r="E1462" i="40"/>
  <c r="E1432" i="40"/>
  <c r="E1397" i="40"/>
  <c r="E1989" i="40"/>
  <c r="E1952" i="40"/>
  <c r="E1913" i="40"/>
  <c r="E1880" i="40"/>
  <c r="E1847" i="40"/>
  <c r="E1808" i="40"/>
  <c r="E1776" i="40"/>
  <c r="E1738" i="40"/>
  <c r="E1703" i="40"/>
  <c r="E1669" i="40"/>
  <c r="E1634" i="40"/>
  <c r="E1595" i="40"/>
  <c r="E1562" i="40"/>
  <c r="E1528" i="40"/>
  <c r="E1489" i="40"/>
  <c r="E1461" i="40"/>
  <c r="E1430" i="40"/>
  <c r="E1393" i="40"/>
  <c r="E1982" i="40"/>
  <c r="E1941" i="40"/>
  <c r="E1906" i="40"/>
  <c r="E1873" i="40"/>
  <c r="E1833" i="40"/>
  <c r="E1801" i="40"/>
  <c r="E1766" i="40"/>
  <c r="E1729" i="40"/>
  <c r="E1696" i="40"/>
  <c r="E1659" i="40"/>
  <c r="E1623" i="40"/>
  <c r="E1590" i="40"/>
  <c r="E1554" i="40"/>
  <c r="E1515" i="40"/>
  <c r="E1483" i="40"/>
  <c r="E1454" i="40"/>
  <c r="E1417" i="40"/>
  <c r="E1389" i="40"/>
  <c r="E1976" i="40"/>
  <c r="E1938" i="40"/>
  <c r="E1905" i="40"/>
  <c r="E1872" i="40"/>
  <c r="E1832" i="40"/>
  <c r="E1800" i="40"/>
  <c r="E1765" i="40"/>
  <c r="E1728" i="40"/>
  <c r="E1691" i="40"/>
  <c r="E1658" i="40"/>
  <c r="E1622" i="40"/>
  <c r="E1589" i="40"/>
  <c r="E1553" i="40"/>
  <c r="E1513" i="40"/>
  <c r="E1482" i="40"/>
  <c r="E1451" i="40"/>
  <c r="E1416" i="40"/>
  <c r="E1388" i="40"/>
  <c r="E1960" i="40"/>
  <c r="E1886" i="40"/>
  <c r="E1819" i="40"/>
  <c r="E1750" i="40"/>
  <c r="E1674" i="40"/>
  <c r="E1607" i="40"/>
  <c r="E1536" i="40"/>
  <c r="E1465" i="40"/>
  <c r="E1402" i="40"/>
  <c r="E1957" i="40"/>
  <c r="E1882" i="40"/>
  <c r="E1813" i="40"/>
  <c r="E1745" i="40"/>
  <c r="E1672" i="40"/>
  <c r="E1601" i="40"/>
  <c r="E1531" i="40"/>
  <c r="E1463" i="40"/>
  <c r="E1398" i="40"/>
  <c r="E1950" i="40"/>
  <c r="E1879" i="40"/>
  <c r="E1806" i="40"/>
  <c r="E1737" i="40"/>
  <c r="E1666" i="40"/>
  <c r="E1593" i="40"/>
  <c r="E1527" i="40"/>
  <c r="E1458" i="40"/>
  <c r="E1392" i="40"/>
  <c r="E1945" i="40"/>
  <c r="E1878" i="40"/>
  <c r="E1803" i="40"/>
  <c r="E1734" i="40"/>
  <c r="E1665" i="40"/>
  <c r="E1592" i="40"/>
  <c r="E1522" i="40"/>
  <c r="E1457" i="40"/>
  <c r="E1391" i="40"/>
  <c r="E1944" i="40"/>
  <c r="E1877" i="40"/>
  <c r="E1802" i="40"/>
  <c r="E1733" i="40"/>
  <c r="E1664" i="40"/>
  <c r="E1591" i="40"/>
  <c r="E1520" i="40"/>
  <c r="E1456" i="40"/>
  <c r="E1390" i="40"/>
  <c r="E1937" i="40"/>
  <c r="E1865" i="40"/>
  <c r="E1799" i="40"/>
  <c r="E1726" i="40"/>
  <c r="E1654" i="40"/>
  <c r="E1586" i="40"/>
  <c r="E1512" i="40"/>
  <c r="E1446" i="40"/>
  <c r="E1386" i="40"/>
  <c r="E1936" i="40"/>
  <c r="E1863" i="40"/>
  <c r="E1798" i="40"/>
  <c r="E1722" i="40"/>
  <c r="E1653" i="40"/>
  <c r="E1584" i="40"/>
  <c r="E1511" i="40"/>
  <c r="E1445" i="40"/>
  <c r="E1385" i="40"/>
  <c r="E1931" i="40"/>
  <c r="E1861" i="40"/>
  <c r="E1792" i="40"/>
  <c r="E1721" i="40"/>
  <c r="E1649" i="40"/>
  <c r="E1579" i="40"/>
  <c r="E1510" i="40"/>
  <c r="E1441" i="40"/>
  <c r="E1926" i="40"/>
  <c r="E1854" i="40"/>
  <c r="E1782" i="40"/>
  <c r="E1713" i="40"/>
  <c r="E1641" i="40"/>
  <c r="E1569" i="40"/>
  <c r="E1502" i="40"/>
  <c r="E1435" i="40"/>
  <c r="E1920" i="40"/>
  <c r="E1850" i="40"/>
  <c r="E1778" i="40"/>
  <c r="E1706" i="40"/>
  <c r="E1639" i="40"/>
  <c r="E1986" i="40"/>
  <c r="E1912" i="40"/>
  <c r="E1846" i="40"/>
  <c r="E1774" i="40"/>
  <c r="E1701" i="40"/>
  <c r="E1633" i="40"/>
  <c r="E1560" i="40"/>
  <c r="E1488" i="40"/>
  <c r="E1425" i="40"/>
  <c r="E1985" i="40"/>
  <c r="E1910" i="40"/>
  <c r="E1838" i="40"/>
  <c r="E1771" i="40"/>
  <c r="E1698" i="40"/>
  <c r="E1626" i="40"/>
  <c r="E1559" i="40"/>
  <c r="E1487" i="40"/>
  <c r="E1422" i="40"/>
  <c r="E1984" i="40"/>
  <c r="E1909" i="40"/>
  <c r="E1835" i="40"/>
  <c r="E1769" i="40"/>
  <c r="E1697" i="40"/>
  <c r="E1625" i="40"/>
  <c r="E1558" i="40"/>
  <c r="E1486" i="40"/>
  <c r="E1419" i="40"/>
  <c r="E1966" i="40"/>
  <c r="E1898" i="40"/>
  <c r="E1829" i="40"/>
  <c r="E1754" i="40"/>
  <c r="E1687" i="40"/>
  <c r="E1616" i="40"/>
  <c r="E1543" i="40"/>
  <c r="E1478" i="40"/>
  <c r="E1413" i="40"/>
  <c r="E1690" i="40"/>
  <c r="E1689" i="40"/>
  <c r="E1618" i="40"/>
  <c r="E1617" i="40"/>
  <c r="E1566" i="40"/>
  <c r="E1547" i="40"/>
  <c r="E1546" i="40"/>
  <c r="E1495" i="40"/>
  <c r="E1973" i="40"/>
  <c r="E1481" i="40"/>
  <c r="E1970" i="40"/>
  <c r="E1480" i="40"/>
  <c r="E1904" i="40"/>
  <c r="E1433" i="40"/>
  <c r="E1902" i="40"/>
  <c r="E1415" i="40"/>
  <c r="E1760" i="40"/>
  <c r="E1758" i="40"/>
  <c r="F5" i="48"/>
  <c r="U148" i="12"/>
  <c r="E35" i="28"/>
  <c r="E25" i="28"/>
  <c r="K8" i="23"/>
  <c r="S8" i="23" s="1"/>
  <c r="I6" i="23"/>
  <c r="M11" i="31"/>
  <c r="I9" i="32"/>
  <c r="Q10" i="32"/>
  <c r="AE11" i="32"/>
  <c r="Q27" i="33"/>
  <c r="BA28" i="33"/>
  <c r="J6" i="35"/>
  <c r="AF27" i="40"/>
  <c r="E328" i="40"/>
  <c r="I7" i="44"/>
  <c r="I10" i="43"/>
  <c r="I10" i="42"/>
  <c r="H14" i="41"/>
  <c r="I25" i="40"/>
  <c r="I26" i="33"/>
  <c r="H9" i="32"/>
  <c r="I9" i="31"/>
  <c r="N11" i="43"/>
  <c r="N11" i="42"/>
  <c r="H60" i="41"/>
  <c r="S8" i="44"/>
  <c r="N26" i="40"/>
  <c r="S10" i="31"/>
  <c r="H106" i="41"/>
  <c r="AC9" i="44"/>
  <c r="S12" i="43"/>
  <c r="S12" i="42"/>
  <c r="S27" i="40"/>
  <c r="AC11" i="31"/>
  <c r="AC28" i="33"/>
  <c r="R11" i="32"/>
  <c r="AK10" i="43"/>
  <c r="BM7" i="44"/>
  <c r="H266" i="41"/>
  <c r="AK25" i="40"/>
  <c r="AK10" i="42"/>
  <c r="BM26" i="33"/>
  <c r="AJ9" i="32"/>
  <c r="AO9" i="44"/>
  <c r="Y12" i="43"/>
  <c r="H160" i="41"/>
  <c r="Y12" i="42"/>
  <c r="Y27" i="40"/>
  <c r="X11" i="32"/>
  <c r="AO11" i="31"/>
  <c r="AO28" i="33"/>
  <c r="AW9" i="44"/>
  <c r="AC12" i="42"/>
  <c r="H196" i="41"/>
  <c r="AC12" i="43"/>
  <c r="AC27" i="40"/>
  <c r="AW11" i="31"/>
  <c r="AW28" i="33"/>
  <c r="AG12" i="42"/>
  <c r="BE9" i="44"/>
  <c r="H232" i="41"/>
  <c r="AG12" i="43"/>
  <c r="BE28" i="33"/>
  <c r="AF11" i="32"/>
  <c r="AC41" i="50"/>
  <c r="AC41" i="49"/>
  <c r="J49" i="13"/>
  <c r="S44" i="19"/>
  <c r="Y11" i="31"/>
  <c r="N9" i="32"/>
  <c r="AK11" i="32"/>
  <c r="S27" i="33"/>
  <c r="AG27" i="40"/>
  <c r="E342" i="40"/>
  <c r="M8" i="44"/>
  <c r="K11" i="42"/>
  <c r="K11" i="43"/>
  <c r="H33" i="41"/>
  <c r="K26" i="40"/>
  <c r="J10" i="32"/>
  <c r="M10" i="31"/>
  <c r="M27" i="33"/>
  <c r="I8" i="44"/>
  <c r="I11" i="43"/>
  <c r="H15" i="41"/>
  <c r="I11" i="42"/>
  <c r="I26" i="40"/>
  <c r="I27" i="33"/>
  <c r="H10" i="32"/>
  <c r="H61" i="41"/>
  <c r="N12" i="43"/>
  <c r="S9" i="44"/>
  <c r="N12" i="42"/>
  <c r="N27" i="40"/>
  <c r="S11" i="31"/>
  <c r="M11" i="32"/>
  <c r="AE7" i="44"/>
  <c r="T10" i="42"/>
  <c r="T10" i="43"/>
  <c r="T25" i="40"/>
  <c r="H113" i="41"/>
  <c r="AE9" i="31"/>
  <c r="AE26" i="33"/>
  <c r="BM8" i="44"/>
  <c r="AK11" i="43"/>
  <c r="AK11" i="42"/>
  <c r="H267" i="41"/>
  <c r="AK26" i="40"/>
  <c r="BM10" i="31"/>
  <c r="BM27" i="33"/>
  <c r="AJ10" i="32"/>
  <c r="AC42" i="50"/>
  <c r="AC42" i="49"/>
  <c r="K10" i="31"/>
  <c r="AI11" i="31"/>
  <c r="O9" i="32"/>
  <c r="AC10" i="32"/>
  <c r="W27" i="33"/>
  <c r="E440" i="40"/>
  <c r="K9" i="31"/>
  <c r="O10" i="31"/>
  <c r="AK11" i="31"/>
  <c r="P9" i="32"/>
  <c r="AD10" i="32"/>
  <c r="Y27" i="33"/>
  <c r="S44" i="36"/>
  <c r="E441" i="40"/>
  <c r="J33" i="40"/>
  <c r="Z33" i="40"/>
  <c r="AP33" i="40"/>
  <c r="P33" i="40"/>
  <c r="AF33" i="40"/>
  <c r="K7" i="53"/>
  <c r="S7" i="53" s="1"/>
  <c r="S6" i="53"/>
  <c r="AM33" i="40"/>
  <c r="J6" i="50"/>
  <c r="S5" i="50"/>
  <c r="J6" i="52"/>
  <c r="I58" i="47"/>
  <c r="H58" i="47" s="1"/>
  <c r="AU7" i="44" l="1"/>
  <c r="AB10" i="43"/>
  <c r="H185" i="41"/>
  <c r="AB10" i="42"/>
  <c r="AU26" i="33"/>
  <c r="AA9" i="32"/>
  <c r="AB25" i="40"/>
  <c r="AU9" i="31"/>
  <c r="K46" i="37"/>
  <c r="S46" i="37" s="1"/>
  <c r="S45" i="37"/>
  <c r="H95" i="41"/>
  <c r="AA7" i="44"/>
  <c r="R10" i="43"/>
  <c r="R25" i="40"/>
  <c r="R10" i="42"/>
  <c r="AA9" i="31"/>
  <c r="Q9" i="32"/>
  <c r="AA26" i="33"/>
  <c r="AE10" i="43"/>
  <c r="BA7" i="44"/>
  <c r="AE10" i="42"/>
  <c r="AE25" i="40"/>
  <c r="H212" i="41"/>
  <c r="BA9" i="31"/>
  <c r="BA26" i="33"/>
  <c r="AD9" i="32"/>
  <c r="E70" i="40"/>
  <c r="E75" i="40"/>
  <c r="E74" i="40"/>
  <c r="E72" i="40"/>
  <c r="E73" i="40"/>
  <c r="E62" i="40"/>
  <c r="E60" i="40"/>
  <c r="E63" i="40"/>
  <c r="E61" i="40"/>
  <c r="E58" i="40"/>
  <c r="BI7" i="44"/>
  <c r="H248" i="41"/>
  <c r="AI10" i="43"/>
  <c r="AI10" i="42"/>
  <c r="AI25" i="40"/>
  <c r="BI9" i="31"/>
  <c r="BI26" i="33"/>
  <c r="AH9" i="32"/>
  <c r="AS7" i="44"/>
  <c r="AA10" i="43"/>
  <c r="H176" i="41"/>
  <c r="AA10" i="42"/>
  <c r="AS26" i="33"/>
  <c r="Z9" i="32"/>
  <c r="AA25" i="40"/>
  <c r="AS9" i="31"/>
  <c r="M7" i="44"/>
  <c r="H32" i="41"/>
  <c r="K10" i="43"/>
  <c r="K10" i="42"/>
  <c r="K25" i="40"/>
  <c r="M26" i="33"/>
  <c r="J9" i="32"/>
  <c r="M9" i="31"/>
  <c r="AL11" i="43"/>
  <c r="AL11" i="42"/>
  <c r="BO8" i="44"/>
  <c r="H276" i="41"/>
  <c r="AL26" i="40"/>
  <c r="BO10" i="31"/>
  <c r="BO27" i="33"/>
  <c r="AK10" i="32"/>
  <c r="D45" i="7"/>
  <c r="D50" i="7"/>
  <c r="D47" i="7"/>
  <c r="D48" i="7"/>
  <c r="D46" i="7"/>
  <c r="AK8" i="44"/>
  <c r="W11" i="42"/>
  <c r="W11" i="43"/>
  <c r="H141" i="41"/>
  <c r="W26" i="40"/>
  <c r="AK27" i="33"/>
  <c r="V10" i="32"/>
  <c r="AK10" i="31"/>
  <c r="E40" i="40"/>
  <c r="E45" i="40"/>
  <c r="E44" i="40"/>
  <c r="E42" i="40"/>
  <c r="E43" i="40"/>
  <c r="V11" i="43"/>
  <c r="V11" i="42"/>
  <c r="AI8" i="44"/>
  <c r="V26" i="40"/>
  <c r="H132" i="41"/>
  <c r="AI10" i="31"/>
  <c r="AI27" i="33"/>
  <c r="U10" i="32"/>
  <c r="L56" i="22"/>
  <c r="U56" i="22" s="1"/>
  <c r="U55" i="22"/>
  <c r="H25" i="26"/>
  <c r="L25" i="26" s="1"/>
  <c r="L24" i="26"/>
  <c r="L24" i="24"/>
  <c r="H25" i="24"/>
  <c r="L25" i="24" s="1"/>
  <c r="AI7" i="44"/>
  <c r="V10" i="43"/>
  <c r="H131" i="41"/>
  <c r="V10" i="42"/>
  <c r="AI9" i="31"/>
  <c r="AI26" i="33"/>
  <c r="U9" i="32"/>
  <c r="V25" i="40"/>
  <c r="S45" i="38"/>
  <c r="K46" i="38"/>
  <c r="S46" i="38" s="1"/>
  <c r="E69" i="40"/>
  <c r="E68" i="40"/>
  <c r="E67" i="40"/>
  <c r="E66" i="40"/>
  <c r="E64" i="40"/>
  <c r="E54" i="40"/>
  <c r="E52" i="40"/>
  <c r="E57" i="40"/>
  <c r="E55" i="40"/>
  <c r="E56" i="40"/>
  <c r="S48" i="19"/>
  <c r="K49" i="19"/>
  <c r="S49" i="19" s="1"/>
  <c r="K46" i="52"/>
  <c r="S46" i="52" s="1"/>
  <c r="S45" i="52"/>
  <c r="BS8" i="44"/>
  <c r="AN11" i="42"/>
  <c r="H294" i="41"/>
  <c r="AN11" i="43"/>
  <c r="BS27" i="33"/>
  <c r="AN26" i="40"/>
  <c r="BS10" i="31"/>
  <c r="AM10" i="32"/>
  <c r="S48" i="17"/>
  <c r="K49" i="17"/>
  <c r="S49" i="17" s="1"/>
  <c r="BU8" i="44"/>
  <c r="AO11" i="43"/>
  <c r="H303" i="41"/>
  <c r="AO11" i="42"/>
  <c r="BU27" i="33"/>
  <c r="AN10" i="32"/>
  <c r="AO26" i="40"/>
  <c r="BU10" i="31"/>
  <c r="K7" i="35"/>
  <c r="S7" i="35" s="1"/>
  <c r="S6" i="35"/>
  <c r="AO7" i="44"/>
  <c r="Y10" i="43"/>
  <c r="Y10" i="42"/>
  <c r="H158" i="41"/>
  <c r="AO26" i="33"/>
  <c r="X9" i="32"/>
  <c r="Y25" i="40"/>
  <c r="AO9" i="31"/>
  <c r="K7" i="52"/>
  <c r="S7" i="52" s="1"/>
  <c r="S6" i="52"/>
  <c r="E46" i="40"/>
  <c r="E51" i="40"/>
  <c r="E50" i="40"/>
  <c r="E49" i="40"/>
  <c r="E48" i="40"/>
  <c r="E76" i="40"/>
  <c r="E81" i="40"/>
  <c r="E80" i="40"/>
  <c r="E78" i="40"/>
  <c r="E79" i="40"/>
  <c r="AW7" i="44"/>
  <c r="AC10" i="43"/>
  <c r="AC10" i="42"/>
  <c r="AC25" i="40"/>
  <c r="H194" i="41"/>
  <c r="AB9" i="32"/>
  <c r="AW9" i="31"/>
  <c r="AW26" i="33"/>
  <c r="K7" i="37"/>
  <c r="S7" i="37" s="1"/>
  <c r="S6" i="37"/>
  <c r="S45" i="35"/>
  <c r="K46" i="35"/>
  <c r="S46" i="35" s="1"/>
  <c r="S48" i="21"/>
  <c r="K49" i="21"/>
  <c r="S49" i="21" s="1"/>
  <c r="S6" i="36"/>
  <c r="K7" i="36"/>
  <c r="S7" i="36" s="1"/>
  <c r="K7" i="50"/>
  <c r="S7" i="50" s="1"/>
  <c r="S6" i="50"/>
  <c r="Q7" i="44"/>
  <c r="M10" i="43"/>
  <c r="M10" i="42"/>
  <c r="H50" i="41"/>
  <c r="M25" i="40"/>
  <c r="L9" i="32"/>
  <c r="Q9" i="31"/>
  <c r="Q26" i="33"/>
  <c r="J45" i="49"/>
  <c r="S44" i="49"/>
  <c r="U8" i="22"/>
  <c r="L9" i="22"/>
  <c r="U9" i="22" s="1"/>
  <c r="K8" i="17"/>
  <c r="S8" i="17" s="1"/>
  <c r="S7" i="17"/>
  <c r="K46" i="53"/>
  <c r="S46" i="53" s="1"/>
  <c r="S45" i="53"/>
  <c r="BU7" i="44"/>
  <c r="AO10" i="43"/>
  <c r="AO10" i="42"/>
  <c r="H302" i="41"/>
  <c r="AO25" i="40"/>
  <c r="BU26" i="33"/>
  <c r="AN9" i="32"/>
  <c r="BU9" i="31"/>
  <c r="AN10" i="43"/>
  <c r="H293" i="41"/>
  <c r="BS7" i="44"/>
  <c r="AN25" i="40"/>
  <c r="AN10" i="42"/>
  <c r="BS9" i="31"/>
  <c r="BS26" i="33"/>
  <c r="AM9" i="32"/>
  <c r="J45" i="50"/>
  <c r="S44" i="50"/>
  <c r="AB31" i="40"/>
  <c r="AB2002" i="40" s="1"/>
  <c r="L31" i="40"/>
  <c r="L2002" i="40" s="1"/>
  <c r="AA31" i="40"/>
  <c r="AA2002" i="40" s="1"/>
  <c r="K31" i="40"/>
  <c r="K2002" i="40" s="1"/>
  <c r="AN31" i="40"/>
  <c r="AN2002" i="40" s="1"/>
  <c r="X31" i="40"/>
  <c r="X2002" i="40" s="1"/>
  <c r="H31" i="40"/>
  <c r="H2002" i="40" s="1"/>
  <c r="AM31" i="40"/>
  <c r="AM2002" i="40" s="1"/>
  <c r="W31" i="40"/>
  <c r="W2002" i="40" s="1"/>
  <c r="AL31" i="40"/>
  <c r="AL2002" i="40" s="1"/>
  <c r="V31" i="40"/>
  <c r="V2002" i="40" s="1"/>
  <c r="AK31" i="40"/>
  <c r="AK2002" i="40" s="1"/>
  <c r="U31" i="40"/>
  <c r="U2002" i="40" s="1"/>
  <c r="AJ31" i="40"/>
  <c r="AJ2002" i="40" s="1"/>
  <c r="T31" i="40"/>
  <c r="T2002" i="40" s="1"/>
  <c r="AH31" i="40"/>
  <c r="AH2002" i="40" s="1"/>
  <c r="R31" i="40"/>
  <c r="R2002" i="40" s="1"/>
  <c r="AG31" i="40"/>
  <c r="AG2002" i="40" s="1"/>
  <c r="Q31" i="40"/>
  <c r="Q2002" i="40" s="1"/>
  <c r="AF31" i="40"/>
  <c r="AF2002" i="40" s="1"/>
  <c r="P31" i="40"/>
  <c r="P2002" i="40" s="1"/>
  <c r="AC31" i="40"/>
  <c r="AC2002" i="40" s="1"/>
  <c r="M31" i="40"/>
  <c r="M2002" i="40" s="1"/>
  <c r="AE31" i="40"/>
  <c r="AE2002" i="40" s="1"/>
  <c r="AD31" i="40"/>
  <c r="AD2002" i="40" s="1"/>
  <c r="Z31" i="40"/>
  <c r="Z2002" i="40" s="1"/>
  <c r="Y31" i="40"/>
  <c r="Y2002" i="40" s="1"/>
  <c r="S31" i="40"/>
  <c r="S2002" i="40" s="1"/>
  <c r="O31" i="40"/>
  <c r="O2002" i="40" s="1"/>
  <c r="N31" i="40"/>
  <c r="N2002" i="40" s="1"/>
  <c r="J31" i="40"/>
  <c r="J2002" i="40" s="1"/>
  <c r="I31" i="40"/>
  <c r="I2002" i="40" s="1"/>
  <c r="AO31" i="40"/>
  <c r="AO2002" i="40" s="1"/>
  <c r="AI31" i="40"/>
  <c r="AI2002" i="40" s="1"/>
  <c r="AP31" i="40"/>
  <c r="AP2002" i="40" s="1"/>
  <c r="BK7" i="44"/>
  <c r="H257" i="41"/>
  <c r="AJ10" i="43"/>
  <c r="AJ25" i="40"/>
  <c r="AJ10" i="42"/>
  <c r="BK9" i="31"/>
  <c r="BK26" i="33"/>
  <c r="AI9" i="32"/>
  <c r="AF10" i="43"/>
  <c r="H221" i="41"/>
  <c r="AF10" i="42"/>
  <c r="BC7" i="44"/>
  <c r="AF25" i="40"/>
  <c r="BC9" i="31"/>
  <c r="AE9" i="32"/>
  <c r="BC26" i="33"/>
  <c r="X10" i="43"/>
  <c r="AM7" i="44"/>
  <c r="X10" i="42"/>
  <c r="H149" i="41"/>
  <c r="AM26" i="33"/>
  <c r="W9" i="32"/>
  <c r="X25" i="40"/>
  <c r="AM9" i="31"/>
  <c r="BQ7" i="44"/>
  <c r="AM10" i="42"/>
  <c r="AM10" i="43"/>
  <c r="H284" i="41"/>
  <c r="BQ9" i="31"/>
  <c r="AM25" i="40"/>
  <c r="BQ26" i="33"/>
  <c r="AL9" i="32"/>
  <c r="K49" i="16"/>
  <c r="S49" i="16" s="1"/>
  <c r="S48" i="16"/>
  <c r="K46" i="49" l="1"/>
  <c r="S46" i="49" s="1"/>
  <c r="S45" i="49"/>
  <c r="K46" i="50"/>
  <c r="S46" i="50" s="1"/>
  <c r="S45" i="50"/>
</calcChain>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<sst xmlns="http://schemas.openxmlformats.org/spreadsheetml/2006/main" count="23821" uniqueCount="4802">
  <si>
    <t>Субъект РФ</t>
  </si>
  <si>
    <t>Приморский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</si>
  <si>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</si>
  <si>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</si>
  <si>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</si>
  <si>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</si>
  <si>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</si>
  <si>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</si>
  <si>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</si>
  <si>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</si>
  <si>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</si>
  <si>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</si>
  <si>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</si>
  <si>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</si>
  <si>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</si>
  <si>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</si>
  <si>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</si>
  <si>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</si>
  <si>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</si>
  <si>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</si>
  <si>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</si>
  <si>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</si>
  <si>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</si>
  <si>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</si>
  <si>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</si>
  <si>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</si>
  <si>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</si>
  <si>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</si>
  <si>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</si>
  <si>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</si>
  <si>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</si>
  <si>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</si>
  <si>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</si>
  <si>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</si>
  <si>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</si>
  <si>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</si>
  <si>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</si>
  <si>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</si>
  <si>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</si>
  <si>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</si>
  <si>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</si>
  <si>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</si>
  <si>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</si>
  <si>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</si>
  <si>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</si>
  <si>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</si>
  <si>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</si>
  <si>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</si>
  <si>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</si>
  <si>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</si>
  <si>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</si>
  <si>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</si>
  <si>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27.03.2024</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</si>
  <si>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</si>
  <si>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</si>
  <si>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</si>
  <si>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</si>
  <si>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</si>
  <si>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</si>
  <si>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</si>
  <si>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</si>
  <si>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Долматова Елена Викторовна</t>
  </si>
  <si>
    <t>Ответственный за заполнение формы</t>
  </si>
  <si>
    <t>Фамилия, имя, отчество</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</si>
  <si>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</si>
  <si>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</si>
  <si>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</si>
  <si>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</si>
  <si>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</si>
  <si>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</si>
  <si>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</si>
  <si>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</si>
  <si>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</si>
  <si>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</si>
  <si>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</si>
  <si>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</si>
  <si>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</si>
  <si>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</si>
  <si>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</si>
  <si>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</si>
  <si>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</si>
  <si>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</si>
  <si>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</si>
  <si>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</si>
  <si>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</si>
  <si>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</si>
  <si>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</si>
  <si>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</si>
  <si>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</si>
  <si>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</si>
  <si>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</si>
  <si>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ter_56</t>
  </si>
  <si>
    <t>Владивостокский городской округ</t>
  </si>
  <si>
    <t>05701000</t>
  </si>
  <si>
    <t>ter_57</t>
  </si>
  <si>
    <t>Дальнегорский городской округ</t>
  </si>
  <si>
    <t>05707000</t>
  </si>
  <si>
    <t>ter_58</t>
  </si>
  <si>
    <t>Дальнереченский городской округ</t>
  </si>
  <si>
    <t>05708000</t>
  </si>
  <si>
    <t>5</t>
  </si>
  <si>
    <t>ter_59</t>
  </si>
  <si>
    <t>8</t>
  </si>
  <si>
    <t>Дальнереченский муниципальный район</t>
  </si>
  <si>
    <t>Веденкинское сельское поселение</t>
  </si>
  <si>
    <t>05607408</t>
  </si>
  <si>
    <t>10</t>
  </si>
  <si>
    <t>Малиновское сельское поселение</t>
  </si>
  <si>
    <t>05607413</t>
  </si>
  <si>
    <t>12</t>
  </si>
  <si>
    <t>Ореховское сельское поселение</t>
  </si>
  <si>
    <t>05607422</t>
  </si>
  <si>
    <t>13</t>
  </si>
  <si>
    <t>Ракитненское сельское поселение</t>
  </si>
  <si>
    <t>05607425</t>
  </si>
  <si>
    <t>14</t>
  </si>
  <si>
    <t>Рождественское сельское поселение</t>
  </si>
  <si>
    <t>05607428</t>
  </si>
  <si>
    <t>15</t>
  </si>
  <si>
    <t>Сальское сельское поселение</t>
  </si>
  <si>
    <t>05607431</t>
  </si>
  <si>
    <t>ter_60</t>
  </si>
  <si>
    <t>38</t>
  </si>
  <si>
    <t>Лесозаводский городской округ</t>
  </si>
  <si>
    <t>05711000</t>
  </si>
  <si>
    <t>ter_61</t>
  </si>
  <si>
    <t>51</t>
  </si>
  <si>
    <t>Находкинский городской округ</t>
  </si>
  <si>
    <t>05714000</t>
  </si>
  <si>
    <t>ter_62</t>
  </si>
  <si>
    <t>54</t>
  </si>
  <si>
    <t>Партизанский городской округ</t>
  </si>
  <si>
    <t>05717000</t>
  </si>
  <si>
    <t>9</t>
  </si>
  <si>
    <t>ter_63</t>
  </si>
  <si>
    <t>Городской округ Спасск-Дальний</t>
  </si>
  <si>
    <t>05720000</t>
  </si>
  <si>
    <t>ter_64</t>
  </si>
  <si>
    <t>66</t>
  </si>
  <si>
    <t>Спасский муниципальный район</t>
  </si>
  <si>
    <t>Александровское сельское поселение</t>
  </si>
  <si>
    <t>05637402</t>
  </si>
  <si>
    <t>67</t>
  </si>
  <si>
    <t>Дубовское сельское поселение</t>
  </si>
  <si>
    <t>05637419</t>
  </si>
  <si>
    <t>68</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</si>
  <si>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</si>
  <si>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</si>
  <si>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</si>
  <si>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</si>
  <si>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</si>
  <si>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</si>
  <si>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</si>
  <si>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</si>
  <si>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</si>
  <si>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</si>
  <si>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</si>
  <si>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</si>
  <si>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</si>
  <si>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</si>
  <si>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</si>
  <si>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</si>
  <si>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</si>
  <si>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11</t>
  </si>
  <si>
    <t>ter_65</t>
  </si>
  <si>
    <t>1</t>
  </si>
  <si>
    <t>Анучинский муниципальный округ</t>
  </si>
  <si>
    <t>05502000</t>
  </si>
  <si>
    <t>ter_67</t>
  </si>
  <si>
    <t>16</t>
  </si>
  <si>
    <t>Кавалеровский муниципальный округ</t>
  </si>
  <si>
    <t>05510000</t>
  </si>
  <si>
    <t>ter_68</t>
  </si>
  <si>
    <t>18</t>
  </si>
  <si>
    <t>Кировский муниципальный район</t>
  </si>
  <si>
    <t>Горноключевское городское поселение</t>
  </si>
  <si>
    <t>05612154</t>
  </si>
  <si>
    <t>20</t>
  </si>
  <si>
    <t>Кировское городское поселение</t>
  </si>
  <si>
    <t>05612151</t>
  </si>
  <si>
    <t>21</t>
  </si>
  <si>
    <t>Крыловское сельское поселение</t>
  </si>
  <si>
    <t>05612413</t>
  </si>
  <si>
    <t>23</t>
  </si>
  <si>
    <t>Руновское сельское поселение</t>
  </si>
  <si>
    <t>05612428</t>
  </si>
  <si>
    <t>ter_69</t>
  </si>
  <si>
    <t>27</t>
  </si>
  <si>
    <t>Красноармейский муниципальный район</t>
  </si>
  <si>
    <t>Вострецовское</t>
  </si>
  <si>
    <t>05614406</t>
  </si>
  <si>
    <t>28</t>
  </si>
  <si>
    <t>Глубинненское</t>
  </si>
  <si>
    <t>05614408</t>
  </si>
  <si>
    <t>29</t>
  </si>
  <si>
    <t>Дальнекутское</t>
  </si>
  <si>
    <t>05614413</t>
  </si>
  <si>
    <t>30</t>
  </si>
  <si>
    <t>Измайлихинское</t>
  </si>
  <si>
    <t>05614416</t>
  </si>
  <si>
    <t>32</t>
  </si>
  <si>
    <t>Лукъяновское сельское поселение</t>
  </si>
  <si>
    <t>05614420</t>
  </si>
  <si>
    <t>33</t>
  </si>
  <si>
    <t>Мельничное сельское поселение</t>
  </si>
  <si>
    <t>05614422</t>
  </si>
  <si>
    <t>34</t>
  </si>
  <si>
    <t>Новопокровское сельское поселение</t>
  </si>
  <si>
    <t>05614428</t>
  </si>
  <si>
    <t>35</t>
  </si>
  <si>
    <t>Рощинское сельское поселение</t>
  </si>
  <si>
    <t>05614431</t>
  </si>
  <si>
    <t>ter_70</t>
  </si>
  <si>
    <t>37</t>
  </si>
  <si>
    <t>Лазовский муниципальный округ</t>
  </si>
  <si>
    <t>05517000</t>
  </si>
  <si>
    <t>ter_71</t>
  </si>
  <si>
    <t>39</t>
  </si>
  <si>
    <t>Михайловский муниципальный район</t>
  </si>
  <si>
    <t>Григорьевское сельское поселение</t>
  </si>
  <si>
    <t>05620406</t>
  </si>
  <si>
    <t>40</t>
  </si>
  <si>
    <t>Ивановкое сельское поселение</t>
  </si>
  <si>
    <t>05620408</t>
  </si>
  <si>
    <t>41</t>
  </si>
  <si>
    <t>Кремовское сельское поселение</t>
  </si>
  <si>
    <t>05620410</t>
  </si>
  <si>
    <t>42</t>
  </si>
  <si>
    <t>05620000</t>
  </si>
  <si>
    <t>44</t>
  </si>
  <si>
    <t>Новошахтинское городское поселение</t>
  </si>
  <si>
    <t>05620154</t>
  </si>
  <si>
    <t>45</t>
  </si>
  <si>
    <t>Осиновское сельское поселение</t>
  </si>
  <si>
    <t>05620425</t>
  </si>
  <si>
    <t>46</t>
  </si>
  <si>
    <t>Сунятсенское сельское поселение</t>
  </si>
  <si>
    <t>05620428</t>
  </si>
  <si>
    <t>43</t>
  </si>
  <si>
    <t>Михайловское сельское поселение</t>
  </si>
  <si>
    <t>05620419</t>
  </si>
  <si>
    <t>17</t>
  </si>
  <si>
    <t>ter_72</t>
  </si>
  <si>
    <t>48</t>
  </si>
  <si>
    <t>Надеждинский муниципальный район</t>
  </si>
  <si>
    <t>Надеждинское сельское поселение</t>
  </si>
  <si>
    <t>05623402</t>
  </si>
  <si>
    <t>49</t>
  </si>
  <si>
    <t>Раздольненское сельское поселение</t>
  </si>
  <si>
    <t>05623404</t>
  </si>
  <si>
    <t>50</t>
  </si>
  <si>
    <t>Тавричанское сельское поселение</t>
  </si>
  <si>
    <t>05623407</t>
  </si>
  <si>
    <t>47</t>
  </si>
  <si>
    <t>05623000</t>
  </si>
  <si>
    <t>ter_73</t>
  </si>
  <si>
    <t>52</t>
  </si>
  <si>
    <t>Октябрьский муниципальный округ</t>
  </si>
  <si>
    <t>05526000</t>
  </si>
  <si>
    <t>19</t>
  </si>
  <si>
    <t>ter_74</t>
  </si>
  <si>
    <t>53</t>
  </si>
  <si>
    <t>Ольгинский муниципальный округ</t>
  </si>
  <si>
    <t>05528000</t>
  </si>
  <si>
    <t>ter_75</t>
  </si>
  <si>
    <t>64</t>
  </si>
  <si>
    <t>Пограничный муниципальный округ</t>
  </si>
  <si>
    <t>05532000</t>
  </si>
  <si>
    <t>ter_76</t>
  </si>
  <si>
    <t>65</t>
  </si>
  <si>
    <t>Пожарский муниципальный округ</t>
  </si>
  <si>
    <t>05534000</t>
  </si>
  <si>
    <t>22</t>
  </si>
  <si>
    <t>ter_77</t>
  </si>
  <si>
    <t>77</t>
  </si>
  <si>
    <t>Ханкайский муниципальный округ</t>
  </si>
  <si>
    <t>05546000</t>
  </si>
  <si>
    <t>ter_78</t>
  </si>
  <si>
    <t>78</t>
  </si>
  <si>
    <t>Хасанский муниципальный округ</t>
  </si>
  <si>
    <t>05548000</t>
  </si>
  <si>
    <t>24</t>
  </si>
  <si>
    <t>ter_79</t>
  </si>
  <si>
    <t>79</t>
  </si>
  <si>
    <t>Хорольский муниципальный округ</t>
  </si>
  <si>
    <t>05550000</t>
  </si>
  <si>
    <t>25</t>
  </si>
  <si>
    <t>ter_80</t>
  </si>
  <si>
    <t>81</t>
  </si>
  <si>
    <t>Черниговский муниципальный район</t>
  </si>
  <si>
    <t>Дмитриевское сельское поселение</t>
  </si>
  <si>
    <t>05653410</t>
  </si>
  <si>
    <t>83</t>
  </si>
  <si>
    <t>Реттиховское городское поселение</t>
  </si>
  <si>
    <t>05653422</t>
  </si>
  <si>
    <t>85</t>
  </si>
  <si>
    <t>Снегуровское</t>
  </si>
  <si>
    <t>05653419</t>
  </si>
  <si>
    <t>87</t>
  </si>
  <si>
    <t>Черниговское сельское поселение</t>
  </si>
  <si>
    <t>05653425</t>
  </si>
  <si>
    <t>86</t>
  </si>
  <si>
    <t>05653000</t>
  </si>
  <si>
    <t>26</t>
  </si>
  <si>
    <t>ter_81</t>
  </si>
  <si>
    <t>88</t>
  </si>
  <si>
    <t>Чугуевский муниципальный округ</t>
  </si>
  <si>
    <t>05555000</t>
  </si>
  <si>
    <t>ter_82</t>
  </si>
  <si>
    <t>90</t>
  </si>
  <si>
    <t>Шкотовский муниципальный район</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</si>
  <si>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</si>
  <si>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</si>
  <si>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</si>
  <si>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</si>
  <si>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</si>
  <si>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</si>
  <si>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</si>
  <si>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</si>
  <si>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</si>
  <si>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</si>
  <si>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</si>
  <si>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</si>
  <si>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</si>
  <si>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</si>
  <si>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96</t>
  </si>
  <si>
    <t>Шкотовское городское поселение</t>
  </si>
  <si>
    <t>05657165</t>
  </si>
  <si>
    <t>97</t>
  </si>
  <si>
    <t>Штыковское сельское поселение</t>
  </si>
  <si>
    <t>05657432</t>
  </si>
  <si>
    <t>ter_83</t>
  </si>
  <si>
    <t>99</t>
  </si>
  <si>
    <t>Яковлевский муниципальный район</t>
  </si>
  <si>
    <t>Варфоломеевское сельское поселение</t>
  </si>
  <si>
    <t>05659407</t>
  </si>
  <si>
    <t>101</t>
  </si>
  <si>
    <t>Покровское сельское поселение</t>
  </si>
  <si>
    <t>05659416</t>
  </si>
  <si>
    <t>104</t>
  </si>
  <si>
    <t>Яковлевское сельское поселение</t>
  </si>
  <si>
    <t>05659422</t>
  </si>
  <si>
    <t>ter_84</t>
  </si>
  <si>
    <t>ter_85</t>
  </si>
  <si>
    <t>31</t>
  </si>
  <si>
    <t>ter_86</t>
  </si>
  <si>
    <t>ter_87</t>
  </si>
  <si>
    <t>Арсеньевский городской округ</t>
  </si>
  <si>
    <t>05703000</t>
  </si>
  <si>
    <t>ter_88</t>
  </si>
  <si>
    <t>105</t>
  </si>
  <si>
    <t>городской округ Большой Камень</t>
  </si>
  <si>
    <t>05706000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</si>
  <si>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</si>
  <si>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</si>
  <si>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</si>
  <si>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</si>
  <si>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</si>
  <si>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</si>
  <si>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</si>
  <si>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</si>
  <si>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</si>
  <si>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</si>
  <si>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Единый тариф на тепловую энергию по Приморскому краю</t>
  </si>
  <si>
    <t>diff_1</t>
  </si>
  <si>
    <t>4190064</t>
  </si>
  <si>
    <t>a</t>
  </si>
  <si>
    <t>Тариф на тепловую энергию по Арсеньевскому ГО</t>
  </si>
  <si>
    <t>diff_66</t>
  </si>
  <si>
    <t xml:space="preserve">Тариф на тепловую энергию по городскому округгу Большой Камень
</t>
  </si>
  <si>
    <t>diff_67</t>
  </si>
  <si>
    <t>ГВС-открытая система на территории Артемовский городской округ, Артемовский городской округ (05705000)</t>
  </si>
  <si>
    <t>diff_68</t>
  </si>
  <si>
    <t>ГВС-открытая система на территории Дальнегорский городской округ, Дальнегорский городской округ (05707000);</t>
  </si>
  <si>
    <t>diff_69</t>
  </si>
  <si>
    <t xml:space="preserve">ГВС-открытая система на территории Кавалеровский муниципальный район, Кавалеровский муниципальный район (05610000); </t>
  </si>
  <si>
    <t>diff_70</t>
  </si>
  <si>
    <t xml:space="preserve">ГВС-открытая система на территории Кировский муниципальный район, Горноключевское гороское поселение (05612154); </t>
  </si>
  <si>
    <t>diff_71</t>
  </si>
  <si>
    <t xml:space="preserve">ГВС-открытая система на территории Михайловский муниципальный район, Новошахтинское городское поселение (05620154); </t>
  </si>
  <si>
    <t>diff_72</t>
  </si>
  <si>
    <t xml:space="preserve">ГВС-открытая система на территории Пожарский муниципальный район, Губеровское сельское поселение (05634407); </t>
  </si>
  <si>
    <t>diff_73</t>
  </si>
  <si>
    <t xml:space="preserve">ГВС-открытая система на территории Пожарский муниципальный район, Нагорненское сельское поселение (05634418); </t>
  </si>
  <si>
    <t>diff_74</t>
  </si>
  <si>
    <t xml:space="preserve">ГВС-открытая система на территории Хасанский муниципальный район, Зарубинское городское поселение (05648153); </t>
  </si>
  <si>
    <t>diff_75</t>
  </si>
  <si>
    <t xml:space="preserve">ГВС-открытая система на территории Хасанский муниципальный район, Славянское городское поселение (05648151); </t>
  </si>
  <si>
    <t>diff_76</t>
  </si>
  <si>
    <t xml:space="preserve">ГВС-открытая система на территории Хорольский муниципальный район, Ярославское городское поселение (05650156); </t>
  </si>
  <si>
    <t>diff_77</t>
  </si>
  <si>
    <t xml:space="preserve">ГВС-открытая система на территории Шкотовский муниципальный район, Штыковское сельское поселение (05657432); </t>
  </si>
  <si>
    <t>diff_90</t>
  </si>
  <si>
    <t>ГВС-открытая система на территории Владивостокского городского округа (05701000).</t>
  </si>
  <si>
    <t>diff_91</t>
  </si>
  <si>
    <t xml:space="preserve">ГВС-открытая система на территории Арсеньевский городской округ, (05703000);
</t>
  </si>
  <si>
    <t>diff_92</t>
  </si>
  <si>
    <t xml:space="preserve">ГВС-открытая система на территории городской округ Большой Камень, (05706000);
</t>
  </si>
  <si>
    <t>diff_93</t>
  </si>
  <si>
    <t>Добавить централизованную систему</t>
  </si>
  <si>
    <t>Добавить описание территории</t>
  </si>
  <si>
    <t>Городской округ Большой Камень</t>
  </si>
  <si>
    <t>diff_78</t>
  </si>
  <si>
    <t>4190072</t>
  </si>
  <si>
    <t>diff_80</t>
  </si>
  <si>
    <t>Спасское МО</t>
  </si>
  <si>
    <t>diff_81</t>
  </si>
  <si>
    <t>Городской округ Спасск Дальний</t>
  </si>
  <si>
    <t>diff_82</t>
  </si>
  <si>
    <t>Дальнереченский  городской округ</t>
  </si>
  <si>
    <t>diff_83</t>
  </si>
  <si>
    <t>Пожарский муниципальное образование</t>
  </si>
  <si>
    <t>diff_84</t>
  </si>
  <si>
    <t>diff_85</t>
  </si>
  <si>
    <t>Ханкайский муниципальный район</t>
  </si>
  <si>
    <t>diff_86</t>
  </si>
  <si>
    <t>diff_87</t>
  </si>
  <si>
    <t>Лазовский МО</t>
  </si>
  <si>
    <t>diff_88</t>
  </si>
  <si>
    <t>diff_89</t>
  </si>
  <si>
    <t>diff_94</t>
  </si>
  <si>
    <t>diff_95</t>
  </si>
  <si>
    <t>Приморское городское поселение</t>
  </si>
  <si>
    <t>diff_96</t>
  </si>
  <si>
    <t xml:space="preserve">Безверховское сельское поселение </t>
  </si>
  <si>
    <t>diff_97</t>
  </si>
  <si>
    <t xml:space="preserve">Лесозаводский городской округ, Лесозаводский городской округ (05711000);
</t>
  </si>
  <si>
    <t>diff_79</t>
  </si>
  <si>
    <t>4190068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</si>
  <si>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</si>
  <si>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</si>
  <si>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</si>
  <si>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</si>
  <si>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</si>
  <si>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</si>
  <si>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</si>
  <si>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</si>
  <si>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</si>
  <si>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</si>
  <si>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</si>
  <si>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</si>
  <si>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</si>
  <si>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</si>
  <si>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</si>
  <si>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</si>
  <si>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</si>
  <si>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</si>
  <si>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</si>
  <si>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</si>
  <si>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</si>
  <si>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</si>
  <si>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</si>
  <si>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</si>
  <si>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</si>
  <si>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</si>
  <si>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</si>
  <si>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</si>
  <si>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</si>
  <si>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</si>
  <si>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</si>
  <si>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</si>
  <si>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</si>
  <si>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</si>
  <si>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</si>
  <si>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</si>
  <si>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</si>
  <si>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</si>
  <si>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</si>
  <si>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</si>
  <si>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</si>
  <si>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</si>
  <si>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</si>
  <si>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</si>
  <si>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</si>
  <si>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</si>
  <si>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</si>
  <si>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</si>
  <si>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</si>
  <si>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</si>
  <si>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</si>
  <si>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</si>
  <si>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</si>
  <si>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</si>
  <si>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</si>
  <si>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</si>
  <si>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</si>
  <si>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</si>
  <si>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</si>
  <si>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</si>
  <si>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</si>
  <si>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</si>
  <si>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</si>
  <si>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</si>
  <si>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</si>
  <si>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</si>
  <si>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</si>
  <si>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</si>
  <si>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</si>
  <si>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</si>
  <si>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</si>
  <si>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</si>
  <si>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</si>
  <si>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</si>
  <si>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</si>
  <si>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</si>
  <si>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</si>
  <si>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</si>
  <si>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</si>
  <si>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</si>
  <si>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</si>
  <si>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</si>
  <si>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</si>
  <si>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</si>
  <si>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</si>
  <si>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</si>
  <si>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</si>
  <si>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</si>
  <si>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</si>
  <si>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</si>
  <si>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</si>
  <si>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</si>
  <si>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</si>
  <si>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</si>
  <si>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</si>
  <si>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</si>
  <si>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</si>
  <si>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</si>
  <si>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</si>
  <si>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</si>
  <si>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</si>
  <si>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</si>
  <si>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</si>
  <si>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</si>
  <si>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</si>
  <si>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</si>
  <si>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</si>
  <si>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</si>
  <si>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</si>
  <si>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</si>
  <si>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</si>
  <si>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</si>
  <si>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</si>
  <si>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</si>
  <si>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</si>
  <si>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</si>
  <si>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</si>
  <si>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</si>
  <si>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</si>
  <si>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</si>
  <si>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</si>
  <si>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</si>
  <si>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</si>
  <si>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</si>
  <si>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</si>
  <si>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</si>
  <si>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</si>
  <si>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</si>
  <si>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</si>
  <si>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</si>
  <si>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</si>
  <si>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</si>
  <si>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</si>
  <si>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</si>
  <si>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</si>
  <si>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</si>
  <si>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</si>
  <si>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</si>
  <si>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</si>
  <si>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</si>
  <si>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</si>
  <si>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</si>
  <si>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</si>
  <si>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</si>
  <si>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</si>
  <si>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</si>
  <si>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</si>
  <si>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</si>
  <si>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</si>
  <si>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</si>
  <si>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</si>
  <si>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</si>
  <si>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</si>
  <si>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</si>
  <si>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</si>
  <si>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</si>
  <si>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</si>
  <si>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</si>
  <si>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</si>
  <si>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</si>
  <si>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</si>
  <si>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</si>
  <si>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</si>
  <si>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</si>
  <si>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</si>
  <si>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</si>
  <si>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</si>
  <si>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</si>
  <si>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</si>
  <si>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</si>
  <si>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</si>
  <si>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</si>
  <si>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</si>
  <si>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</si>
  <si>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</si>
  <si>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</si>
  <si>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</si>
  <si>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</si>
  <si>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</si>
  <si>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</si>
  <si>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</si>
  <si>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</si>
  <si>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</si>
  <si>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</si>
  <si>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</si>
  <si>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</si>
  <si>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</si>
  <si>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</si>
  <si>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</si>
  <si>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</si>
  <si>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</si>
  <si>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</si>
  <si>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</si>
  <si>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</si>
  <si>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</si>
  <si>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</si>
  <si>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</si>
  <si>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</si>
  <si>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</si>
  <si>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</si>
  <si>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</si>
  <si>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</si>
  <si>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</si>
  <si>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</si>
  <si>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</si>
  <si>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</si>
  <si>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</si>
  <si>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</si>
  <si>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</si>
  <si>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</si>
  <si>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</si>
  <si>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</si>
  <si>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</si>
  <si>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</si>
  <si>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</si>
  <si>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</si>
  <si>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</si>
  <si>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</si>
  <si>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</si>
  <si>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</si>
  <si>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</si>
  <si>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</si>
  <si>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</si>
  <si>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</si>
  <si>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</si>
  <si>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</si>
  <si>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</si>
  <si>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</si>
  <si>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</si>
  <si>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</si>
  <si>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</si>
  <si>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</si>
  <si>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</si>
  <si>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</si>
  <si>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</si>
  <si>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</si>
  <si>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</si>
  <si>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</si>
  <si>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</si>
  <si>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</si>
  <si>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</si>
  <si>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</si>
  <si>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</si>
  <si>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</si>
  <si>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</si>
  <si>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</si>
  <si>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</si>
  <si>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</si>
  <si>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</si>
  <si>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</si>
  <si>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</si>
  <si>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</si>
  <si>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</si>
  <si>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</si>
  <si>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</si>
  <si>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</si>
  <si>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</si>
  <si>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</si>
  <si>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</si>
  <si>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</si>
  <si>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</si>
  <si>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</si>
  <si>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</si>
  <si>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</si>
  <si>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</si>
  <si>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</si>
  <si>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</si>
  <si>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</si>
  <si>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</si>
  <si>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</si>
  <si>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</si>
  <si>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</si>
  <si>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</si>
  <si>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</si>
  <si>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</si>
  <si>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</si>
  <si>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</si>
  <si>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</si>
  <si>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</si>
  <si>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</si>
  <si>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</si>
  <si>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</si>
  <si>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</si>
  <si>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</si>
  <si>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</si>
  <si>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</si>
  <si>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</si>
  <si>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</si>
  <si>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</si>
  <si>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</si>
  <si>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</si>
  <si>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</si>
  <si>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</si>
  <si>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</si>
  <si>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</si>
  <si>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</si>
  <si>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</si>
  <si>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</si>
  <si>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</si>
  <si>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</si>
  <si>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</si>
  <si>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</si>
  <si>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</si>
  <si>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</si>
  <si>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</si>
  <si>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</si>
  <si>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</si>
  <si>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</si>
  <si>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</si>
  <si>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</si>
  <si>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</si>
  <si>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</si>
  <si>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</si>
  <si>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</si>
  <si>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</si>
  <si>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</si>
  <si>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</si>
  <si>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</si>
  <si>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</si>
  <si>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</si>
  <si>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</si>
  <si>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</si>
  <si>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</si>
  <si>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</si>
  <si>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</si>
  <si>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</si>
  <si>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</si>
  <si>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</si>
  <si>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</si>
  <si>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</si>
  <si>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</si>
  <si>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</si>
  <si>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</si>
  <si>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</si>
  <si>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</si>
  <si>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</si>
  <si>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</si>
  <si>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</si>
  <si>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</si>
  <si>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</si>
  <si>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</si>
  <si>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</si>
  <si>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</si>
  <si>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</si>
  <si>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</si>
  <si>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</si>
  <si>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</si>
  <si>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</si>
  <si>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</si>
  <si>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</si>
  <si>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</si>
  <si>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</si>
  <si>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</si>
  <si>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</si>
  <si>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</si>
  <si>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</si>
  <si>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</si>
  <si>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</si>
  <si>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</si>
  <si>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</si>
  <si>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</si>
  <si>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</si>
  <si>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</si>
  <si>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</si>
  <si>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</si>
  <si>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</si>
  <si>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</si>
  <si>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</si>
  <si>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</si>
  <si>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</si>
  <si>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</si>
  <si>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</si>
  <si>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</si>
  <si>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</si>
  <si>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</si>
  <si>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</si>
  <si>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</si>
  <si>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</si>
  <si>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</si>
  <si>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</si>
  <si>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</si>
  <si>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</si>
  <si>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</si>
  <si>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</si>
  <si>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</si>
  <si>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</si>
  <si>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</si>
  <si>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</si>
  <si>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</si>
  <si>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</si>
  <si>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</si>
  <si>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</si>
  <si>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</si>
  <si>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</si>
  <si>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</si>
  <si>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</si>
  <si>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</si>
  <si>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</si>
  <si>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</si>
  <si>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</si>
  <si>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</si>
  <si>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</si>
  <si>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</si>
  <si>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</si>
  <si>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</si>
  <si>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</si>
  <si>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</si>
  <si>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</si>
  <si>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</si>
  <si>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</si>
  <si>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</si>
  <si>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</si>
  <si>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</si>
  <si>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</si>
  <si>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</si>
  <si>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</si>
  <si>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</si>
  <si>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</si>
  <si>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</si>
  <si>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</si>
  <si>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</si>
  <si>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</si>
  <si>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</si>
  <si>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</si>
  <si>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</si>
  <si>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</si>
  <si>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</si>
  <si>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</si>
  <si>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</si>
  <si>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</si>
  <si>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</si>
  <si>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</si>
  <si>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</si>
  <si>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</si>
  <si>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</si>
  <si>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</si>
  <si>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</si>
  <si>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</si>
  <si>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</si>
  <si>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</si>
  <si>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</si>
  <si>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</si>
  <si>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</si>
  <si>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</si>
  <si>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</si>
  <si>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</si>
  <si>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</si>
  <si>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</si>
  <si>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</si>
  <si>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</si>
  <si>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</si>
  <si>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</si>
  <si>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</si>
  <si>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</si>
  <si>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</si>
  <si>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</si>
  <si>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</si>
  <si>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</si>
  <si>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</si>
  <si>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</si>
  <si>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</si>
  <si>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</si>
  <si>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</si>
  <si>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</si>
  <si>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</si>
  <si>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</si>
  <si>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</si>
  <si>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</si>
  <si>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</si>
  <si>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</si>
  <si>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</si>
  <si>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</si>
  <si>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</si>
  <si>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</si>
  <si>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</si>
  <si>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</si>
  <si>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</si>
  <si>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</si>
  <si>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</si>
  <si>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</si>
  <si>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</si>
  <si>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</si>
  <si>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</si>
  <si>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</si>
  <si>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</si>
  <si>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</si>
  <si>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</si>
  <si>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</si>
  <si>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</si>
  <si>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</si>
  <si>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</si>
  <si>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</si>
  <si>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</si>
  <si>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</si>
  <si>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</si>
  <si>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</si>
  <si>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</si>
  <si>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</si>
  <si>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</si>
  <si>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</si>
  <si>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</si>
  <si>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</si>
  <si>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</si>
  <si>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</si>
  <si>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</si>
  <si>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</si>
  <si>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</si>
  <si>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</si>
  <si>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</si>
  <si>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</si>
  <si>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</si>
  <si>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</si>
  <si>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</si>
  <si>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</si>
  <si>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</si>
  <si>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</si>
  <si>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</si>
  <si>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</si>
  <si>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</si>
  <si>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</si>
  <si>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</si>
  <si>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</si>
  <si>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</si>
  <si>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</si>
  <si>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</si>
  <si>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</si>
  <si>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</si>
  <si>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</si>
  <si>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</si>
  <si>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</si>
  <si>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</si>
  <si>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</si>
  <si>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</si>
  <si>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</si>
  <si>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</si>
  <si>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</si>
  <si>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</si>
  <si>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</si>
  <si>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</si>
  <si>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</si>
  <si>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</si>
  <si>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</si>
  <si>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</si>
  <si>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</si>
  <si>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</si>
  <si>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</si>
  <si>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</si>
  <si>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</si>
  <si>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</si>
  <si>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</si>
  <si>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</si>
  <si>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</si>
  <si>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</si>
  <si>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</si>
  <si>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</si>
  <si>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</si>
  <si>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</si>
  <si>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</si>
  <si>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</si>
  <si>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</si>
  <si>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</si>
  <si>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</si>
  <si>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</si>
  <si>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</si>
  <si>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</si>
  <si>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</si>
  <si>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</si>
  <si>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</si>
  <si>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</si>
  <si>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</si>
  <si>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</si>
  <si>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</si>
  <si>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</si>
  <si>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</si>
  <si>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</si>
  <si>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</si>
  <si>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</si>
  <si>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</si>
  <si>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</si>
  <si>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</si>
  <si>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</si>
  <si>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</si>
  <si>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</si>
  <si>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</si>
  <si>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</si>
  <si>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</si>
  <si>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</si>
  <si>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</si>
  <si>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</si>
  <si>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</si>
  <si>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</si>
  <si>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</si>
  <si>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</si>
  <si>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</si>
  <si>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</si>
  <si>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</si>
  <si>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</si>
  <si>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</si>
  <si>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</si>
  <si>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</si>
  <si>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</si>
  <si>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</si>
  <si>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</si>
  <si>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</si>
  <si>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</si>
  <si>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</si>
  <si>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</si>
  <si>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</si>
  <si>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</si>
  <si>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</si>
  <si>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</si>
  <si>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</si>
  <si>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</si>
  <si>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</si>
  <si>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</si>
  <si>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</si>
  <si>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</si>
  <si>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</si>
  <si>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</si>
  <si>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</si>
  <si>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</si>
  <si>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</si>
  <si>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</si>
  <si>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</si>
  <si>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</si>
  <si>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</si>
  <si>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</si>
  <si>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</si>
  <si>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</si>
  <si>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</si>
  <si>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</si>
  <si>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</si>
  <si>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</si>
  <si>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</si>
  <si>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</si>
  <si>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</si>
  <si>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</si>
  <si>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</si>
  <si>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</si>
  <si>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</si>
  <si>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</si>
  <si>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</si>
  <si>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</si>
  <si>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</si>
  <si>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</si>
  <si>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</si>
  <si>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</si>
  <si>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</si>
  <si>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</si>
  <si>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</si>
  <si>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</si>
  <si>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</si>
  <si>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</si>
  <si>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</si>
  <si>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</si>
  <si>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</si>
  <si>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</si>
  <si>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</si>
  <si>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</si>
  <si>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</si>
  <si>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</si>
  <si>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</si>
  <si>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</si>
  <si>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</si>
  <si>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</si>
  <si>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</si>
  <si>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</si>
  <si>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</si>
  <si>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</si>
  <si>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</si>
  <si>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</si>
  <si>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</si>
  <si>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</si>
  <si>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</si>
  <si>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</si>
  <si>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</si>
  <si>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</si>
  <si>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</si>
  <si>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</si>
  <si>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</si>
  <si>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</si>
  <si>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</si>
  <si>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</si>
  <si>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</si>
  <si>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</si>
  <si>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</si>
  <si>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</si>
  <si>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</si>
  <si>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</si>
  <si>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</si>
  <si>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</si>
  <si>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</si>
  <si>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</si>
  <si>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</si>
  <si>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</si>
  <si>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</si>
  <si>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</si>
  <si>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</si>
  <si>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</si>
  <si>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</si>
  <si>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</si>
  <si>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</si>
  <si>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</si>
  <si>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</si>
  <si>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</si>
  <si>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</si>
  <si>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</si>
  <si>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</si>
  <si>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</si>
  <si>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</si>
  <si>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</si>
  <si>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</si>
  <si>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</si>
  <si>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</si>
  <si>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</si>
  <si>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</si>
  <si>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</si>
  <si>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</si>
  <si>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</si>
  <si>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</si>
  <si>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</si>
  <si>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</si>
  <si>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</si>
  <si>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</si>
  <si>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</si>
  <si>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</si>
  <si>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</si>
  <si>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</si>
  <si>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</si>
  <si>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</si>
  <si>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</si>
  <si>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</si>
  <si>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</si>
  <si>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</si>
  <si>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</si>
  <si>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</si>
  <si>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</si>
  <si>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</si>
  <si>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</si>
  <si>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</si>
  <si>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</si>
  <si>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</si>
  <si>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</si>
  <si>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</si>
  <si>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</si>
  <si>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</si>
  <si>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</si>
  <si>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</si>
  <si>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</si>
  <si>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</si>
  <si>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</si>
  <si>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</si>
  <si>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</si>
  <si>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</si>
  <si>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</si>
  <si>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</si>
  <si>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</si>
  <si>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</si>
  <si>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</si>
  <si>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</si>
  <si>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</si>
  <si>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</si>
  <si>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</si>
  <si>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</si>
  <si>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</si>
  <si>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</si>
  <si>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</si>
  <si>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</si>
  <si>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</si>
  <si>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</si>
  <si>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</si>
  <si>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</si>
  <si>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</si>
  <si>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</si>
  <si>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</si>
  <si>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</si>
  <si>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</si>
  <si>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</si>
  <si>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</si>
  <si>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</si>
  <si>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</si>
  <si>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</si>
  <si>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</si>
  <si>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</si>
  <si>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</si>
  <si>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</si>
  <si>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</si>
  <si>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</si>
  <si>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</si>
  <si>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</si>
  <si>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</si>
  <si>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</si>
  <si>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</si>
  <si>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</si>
  <si>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</si>
  <si>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</si>
  <si>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</si>
  <si>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</si>
  <si>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</si>
  <si>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</si>
  <si>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</si>
  <si>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</si>
  <si>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</si>
  <si>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</si>
  <si>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</si>
  <si>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</si>
  <si>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</si>
  <si>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</si>
  <si>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</si>
  <si>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</si>
  <si>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</si>
  <si>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</si>
  <si>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</si>
  <si>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</si>
  <si>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</si>
  <si>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</si>
  <si>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</si>
  <si>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</si>
  <si>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</si>
  <si>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</si>
  <si>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</si>
  <si>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</si>
  <si>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</si>
  <si>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</si>
  <si>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</si>
  <si>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</si>
  <si>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</si>
  <si>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</si>
  <si>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</si>
  <si>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</si>
  <si>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</si>
  <si>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</si>
  <si>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</si>
  <si>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</si>
  <si>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</si>
  <si>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</si>
  <si>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</si>
  <si>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</si>
  <si>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</si>
  <si>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</si>
  <si>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</si>
  <si>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</si>
  <si>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</si>
  <si>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</si>
  <si>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</si>
  <si>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</si>
  <si>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</si>
  <si>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</si>
  <si>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</si>
  <si>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</si>
  <si>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</si>
  <si>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</si>
  <si>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</si>
  <si>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</si>
  <si>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</si>
  <si>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</si>
  <si>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</si>
  <si>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</si>
  <si>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</si>
  <si>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</si>
  <si>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</si>
  <si>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</si>
  <si>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</si>
  <si>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</si>
  <si>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</si>
  <si>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</si>
  <si>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</si>
  <si>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</si>
  <si>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</si>
  <si>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</si>
  <si>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</si>
  <si>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</si>
  <si>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</si>
  <si>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</si>
  <si>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</si>
  <si>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</si>
  <si>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</si>
  <si>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</si>
  <si>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</si>
  <si>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</si>
  <si>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</si>
  <si>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</si>
  <si>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</si>
  <si>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</si>
  <si>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</si>
  <si>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</si>
  <si>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</si>
  <si>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</si>
  <si>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</si>
  <si>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</si>
  <si>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</si>
  <si>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</si>
  <si>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</si>
  <si>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</si>
  <si>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</si>
  <si>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</si>
  <si>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</si>
  <si>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</si>
  <si>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</si>
  <si>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</si>
  <si>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</si>
  <si>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</si>
  <si>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</si>
  <si>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</si>
  <si>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</si>
  <si>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</si>
  <si>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</si>
  <si>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</si>
  <si>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</si>
  <si>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</si>
  <si>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</si>
  <si>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</si>
  <si>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</si>
  <si>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</si>
  <si>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</si>
  <si>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</si>
  <si>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</si>
  <si>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</si>
  <si>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</si>
  <si>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</si>
  <si>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</si>
  <si>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</si>
  <si>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</si>
  <si>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</si>
  <si>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</si>
  <si>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</si>
  <si>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</si>
  <si>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</si>
  <si>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</si>
  <si>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</si>
  <si>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</si>
  <si>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</si>
  <si>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</si>
  <si>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</si>
  <si>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</si>
  <si>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</si>
  <si>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</si>
  <si>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</si>
  <si>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</si>
  <si>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</si>
  <si>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</si>
  <si>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</si>
  <si>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</si>
  <si>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</si>
  <si>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</si>
  <si>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</si>
  <si>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</si>
  <si>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</si>
  <si>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</si>
  <si>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</si>
  <si>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</si>
  <si>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</si>
  <si>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</si>
  <si>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</si>
  <si>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</si>
  <si>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</si>
  <si>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</si>
  <si>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</si>
  <si>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</si>
  <si>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</si>
  <si>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</si>
  <si>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</si>
  <si>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</si>
  <si>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</si>
  <si>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</si>
  <si>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</si>
  <si>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</si>
  <si>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</si>
  <si>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</si>
  <si>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</si>
  <si>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</si>
  <si>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</si>
  <si>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</si>
  <si>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</si>
  <si>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</si>
  <si>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</si>
  <si>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</si>
  <si>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</si>
  <si>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</si>
  <si>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</si>
  <si>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</si>
  <si>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</si>
  <si>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</si>
  <si>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</si>
  <si>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</si>
  <si>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</si>
  <si>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</si>
  <si>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</si>
  <si>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</si>
  <si>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</si>
  <si>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</si>
  <si>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</si>
  <si>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</si>
  <si>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</si>
  <si>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</si>
  <si>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</si>
  <si>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</si>
  <si>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</si>
  <si>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</si>
  <si>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</si>
  <si>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</si>
  <si>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</si>
  <si>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</si>
  <si>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</si>
  <si>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</si>
  <si>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</si>
  <si>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</si>
  <si>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</si>
  <si>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</si>
  <si>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</si>
  <si>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</si>
  <si>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</si>
  <si>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</si>
  <si>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</si>
  <si>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</si>
  <si>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</si>
  <si>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</si>
  <si>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</si>
  <si>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</si>
  <si>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</si>
  <si>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</si>
  <si>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</si>
  <si>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</si>
  <si>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</si>
  <si>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За счет платы за технологическое присоединение</t>
  </si>
  <si>
    <t>Прочие займы</t>
  </si>
  <si>
    <t>Пензенская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</si>
  <si>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</si>
  <si>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</si>
  <si>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</si>
  <si>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</si>
  <si>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</si>
  <si>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</si>
  <si>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</si>
  <si>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</si>
  <si>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</si>
  <si>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</si>
  <si>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</si>
  <si>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</si>
  <si>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</si>
  <si>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</si>
  <si>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</si>
  <si>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</si>
  <si>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</si>
  <si>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</si>
  <si>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</si>
  <si>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</si>
  <si>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</si>
  <si>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</si>
  <si>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</si>
  <si>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</si>
  <si>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</si>
  <si>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</si>
  <si>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</si>
  <si>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</si>
  <si>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</si>
  <si>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</si>
  <si>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</si>
  <si>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Экономия средств, достигнутая регулируемой организацией в результате снижения расходов</t>
  </si>
  <si>
    <t>Республика Бурятия</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</si>
  <si>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</si>
  <si>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</si>
  <si>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</si>
  <si>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</si>
  <si>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Республика Ингушетия</t>
  </si>
  <si>
    <t>ROIV</t>
  </si>
  <si>
    <t>Показатели, подлежащие раскрытию органами регулирования</t>
  </si>
  <si>
    <t>Республика Калмыкия</t>
  </si>
  <si>
    <t>PT_NETS_LIST</t>
  </si>
  <si>
    <t>Республика Карелия</t>
  </si>
  <si>
    <t>Республика Коми</t>
  </si>
  <si>
    <t>TERRITORY_ID</t>
  </si>
  <si>
    <t>начинать только с 2, остальное по умолчанию</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</si>
  <si>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</si>
  <si>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</si>
  <si>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</si>
  <si>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</si>
  <si>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</si>
  <si>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</si>
  <si>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</si>
  <si>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</si>
  <si>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</si>
  <si>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</si>
  <si>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</si>
  <si>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</si>
  <si>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</si>
  <si>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</si>
  <si>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</si>
  <si>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</si>
  <si>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</si>
  <si>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</si>
  <si>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</si>
  <si>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</si>
  <si>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</si>
  <si>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</si>
  <si>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</si>
  <si>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</si>
  <si>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</si>
  <si>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</si>
  <si>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</si>
  <si>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</si>
  <si>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</si>
  <si>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</si>
  <si>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</si>
  <si>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</si>
  <si>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</si>
  <si>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</si>
  <si>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</si>
  <si>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</si>
  <si>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</si>
  <si>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</si>
  <si>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</si>
  <si>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</si>
  <si>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</si>
  <si>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</si>
  <si>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</si>
  <si>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</si>
  <si>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</si>
  <si>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</si>
  <si>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</si>
  <si>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</si>
  <si>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</si>
  <si>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</si>
  <si>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</si>
  <si>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</si>
  <si>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</si>
  <si>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</si>
  <si>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</si>
  <si>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</si>
  <si>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</si>
  <si>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</si>
  <si>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</si>
  <si>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</si>
  <si>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</si>
  <si>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</si>
  <si>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</si>
  <si>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</si>
  <si>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</si>
  <si>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</si>
  <si>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</si>
  <si>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</si>
  <si>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</si>
  <si>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</si>
  <si>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</si>
  <si>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</si>
  <si>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</si>
  <si>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</si>
  <si>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</si>
  <si>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</si>
  <si>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</si>
  <si>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</si>
  <si>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</si>
  <si>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</si>
  <si>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</si>
  <si>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</si>
  <si>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</si>
  <si>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</si>
  <si>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</si>
  <si>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</si>
  <si>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</si>
  <si>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</si>
  <si>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</si>
  <si>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</si>
  <si>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</si>
  <si>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</si>
  <si>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</si>
  <si>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</si>
  <si>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</si>
  <si>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</si>
  <si>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</si>
  <si>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</si>
  <si>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</si>
  <si>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</si>
  <si>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</si>
  <si>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</si>
  <si>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</si>
  <si>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</si>
  <si>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</si>
  <si>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</si>
  <si>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</si>
  <si>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</si>
  <si>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</si>
  <si>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</si>
  <si>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</si>
  <si>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</si>
  <si>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</si>
  <si>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</si>
  <si>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</si>
  <si>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</si>
  <si>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</si>
  <si>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</si>
  <si>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</si>
  <si>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</si>
  <si>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</si>
  <si>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</si>
  <si>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</si>
  <si>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</si>
  <si>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</si>
  <si>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</si>
  <si>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</si>
  <si>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</si>
  <si>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</si>
  <si>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</si>
  <si>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</si>
  <si>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</si>
  <si>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</si>
  <si>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</si>
  <si>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</si>
  <si>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</si>
  <si>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</si>
  <si>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</si>
  <si>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</si>
  <si>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</si>
  <si>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</si>
  <si>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</si>
  <si>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</si>
  <si>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</si>
  <si>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</si>
  <si>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</si>
  <si>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</si>
  <si>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</si>
  <si>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</si>
  <si>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</si>
  <si>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</si>
  <si>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</si>
  <si>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</si>
  <si>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</si>
  <si>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</si>
  <si>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</si>
  <si>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</si>
  <si>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</si>
  <si>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</si>
  <si>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</si>
  <si>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</si>
  <si>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</si>
  <si>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</si>
  <si>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</si>
  <si>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</si>
  <si>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</si>
  <si>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</si>
  <si>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</si>
  <si>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</si>
  <si>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</si>
  <si>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</si>
  <si>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</si>
  <si>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</si>
  <si>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</si>
  <si>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</si>
  <si>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</si>
  <si>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</si>
  <si>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</si>
  <si>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</si>
  <si>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</si>
  <si>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</si>
  <si>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</si>
  <si>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</si>
  <si>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</si>
  <si>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</si>
  <si>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</si>
  <si>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</si>
  <si>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</si>
  <si>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</si>
  <si>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</si>
  <si>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</si>
  <si>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</si>
  <si>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</si>
  <si>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</si>
  <si>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</si>
  <si>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</si>
  <si>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</si>
  <si>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</si>
  <si>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</si>
  <si>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</si>
  <si>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</si>
  <si>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</si>
  <si>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</si>
  <si>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</si>
  <si>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</si>
  <si>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</si>
  <si>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</si>
  <si>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</si>
  <si>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</si>
  <si>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</si>
  <si>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</si>
  <si>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</si>
  <si>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</si>
  <si>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</si>
  <si>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</si>
  <si>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</si>
  <si>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</si>
  <si>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</si>
  <si>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</si>
  <si>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</si>
  <si>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</si>
  <si>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</si>
  <si>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</si>
  <si>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</si>
  <si>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</si>
  <si>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</si>
  <si>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</si>
  <si>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</si>
  <si>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</si>
  <si>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</si>
  <si>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</si>
  <si>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</si>
  <si>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</si>
  <si>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</si>
  <si>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</si>
  <si>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</si>
  <si>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</si>
  <si>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</si>
  <si>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</si>
  <si>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</si>
  <si>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</si>
  <si>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</si>
  <si>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</si>
  <si>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</si>
  <si>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</si>
  <si>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</si>
  <si>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</si>
  <si>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</si>
  <si>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</si>
  <si>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</si>
  <si>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</si>
  <si>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</si>
  <si>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</si>
  <si>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</si>
  <si>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</si>
  <si>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</si>
  <si>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</si>
  <si>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</si>
  <si>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</si>
  <si>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</si>
  <si>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</si>
  <si>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</si>
  <si>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</si>
  <si>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</si>
  <si>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</si>
  <si>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</si>
  <si>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</si>
  <si>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</si>
  <si>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</si>
  <si>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</si>
  <si>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</si>
  <si>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</si>
  <si>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</si>
  <si>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</si>
  <si>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</si>
  <si>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</si>
  <si>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</si>
  <si>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</si>
  <si>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</si>
  <si>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</si>
  <si>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</si>
  <si>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</si>
  <si>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</si>
  <si>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</si>
  <si>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</si>
  <si>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</si>
  <si>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</si>
  <si>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</si>
  <si>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</si>
  <si>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</si>
  <si>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</si>
  <si>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</si>
  <si>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</si>
  <si>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</si>
  <si>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</si>
  <si>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</si>
  <si>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</si>
  <si>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</si>
  <si>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</si>
  <si>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</si>
  <si>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</si>
  <si>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</si>
  <si>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</si>
  <si>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</si>
  <si>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</si>
  <si>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</si>
  <si>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</si>
  <si>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</si>
  <si>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</si>
  <si>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</si>
  <si>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</si>
  <si>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</si>
  <si>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</si>
  <si>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</si>
  <si>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</si>
  <si>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</si>
  <si>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</si>
  <si>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</si>
  <si>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</si>
  <si>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</si>
  <si>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</si>
  <si>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</si>
  <si>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</si>
  <si>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</si>
  <si>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</si>
  <si>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</si>
  <si>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</si>
  <si>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</si>
  <si>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</si>
  <si>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</si>
  <si>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</si>
  <si>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</si>
  <si>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</si>
  <si>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</si>
  <si>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</si>
  <si>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</si>
  <si>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</si>
  <si>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</si>
  <si>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</si>
  <si>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</si>
  <si>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</si>
  <si>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</si>
  <si>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</si>
  <si>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</si>
  <si>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</si>
  <si>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</si>
  <si>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</si>
  <si>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</si>
  <si>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</si>
  <si>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</si>
  <si>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</si>
  <si>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</si>
  <si>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</si>
  <si>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</si>
  <si>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</si>
  <si>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</si>
  <si>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</si>
  <si>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</si>
  <si>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</si>
  <si>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</si>
  <si>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</si>
  <si>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</si>
  <si>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</si>
  <si>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</si>
  <si>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</si>
  <si>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</si>
  <si>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</si>
  <si>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</si>
  <si>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</si>
  <si>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</si>
  <si>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</si>
  <si>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</si>
  <si>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</si>
  <si>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</si>
  <si>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</si>
  <si>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</si>
  <si>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</si>
  <si>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</si>
  <si>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</si>
  <si>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</si>
  <si>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</si>
  <si>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</si>
  <si>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</si>
  <si>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</si>
  <si>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</si>
  <si>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</si>
  <si>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</si>
  <si>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</si>
  <si>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</si>
  <si>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</si>
  <si>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</si>
  <si>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</si>
  <si>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</si>
  <si>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</si>
  <si>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</si>
  <si>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</si>
  <si>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</si>
  <si>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</si>
  <si>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</si>
  <si>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</si>
  <si>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</si>
  <si>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</si>
  <si>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</si>
  <si>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</si>
  <si>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</si>
  <si>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</si>
  <si>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</si>
  <si>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</si>
  <si>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</si>
  <si>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</si>
  <si>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</si>
  <si>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</si>
  <si>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</si>
  <si>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</si>
  <si>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</si>
  <si>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</si>
  <si>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</si>
  <si>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</si>
  <si>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</si>
  <si>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</si>
  <si>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</si>
  <si>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</si>
  <si>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</si>
  <si>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</si>
  <si>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</si>
  <si>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</si>
  <si>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</si>
  <si>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</si>
  <si>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</si>
  <si>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</si>
  <si>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</si>
  <si>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</si>
  <si>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</si>
  <si>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</si>
  <si>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</si>
  <si>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</si>
  <si>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</si>
  <si>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</si>
  <si>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</si>
  <si>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</si>
  <si>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</si>
  <si>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</si>
  <si>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</si>
  <si>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</si>
  <si>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</si>
  <si>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</si>
  <si>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</si>
  <si>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</si>
  <si>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</si>
  <si>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</si>
  <si>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</si>
  <si>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</si>
  <si>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</si>
  <si>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</si>
  <si>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</si>
  <si>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</si>
  <si>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</si>
  <si>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</si>
  <si>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</si>
  <si>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</si>
  <si>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</si>
  <si>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</si>
  <si>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</si>
  <si>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</si>
  <si>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</si>
  <si>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</si>
  <si>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</si>
  <si>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</si>
  <si>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</si>
  <si>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</si>
  <si>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</si>
  <si>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</si>
  <si>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</si>
  <si>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</si>
  <si>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</si>
  <si>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</si>
  <si>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</si>
  <si>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</si>
  <si>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</si>
  <si>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</si>
  <si>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</si>
  <si>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тонн</t>
  </si>
  <si>
    <t>Добавить вид топлива</t>
  </si>
  <si>
    <t>HOTVSNA_P1</t>
  </si>
  <si>
    <t>тыс. кВт·ч</t>
  </si>
  <si>
    <t>HEAT_P6</t>
  </si>
  <si>
    <t>NOT_HOTVSNA</t>
  </si>
  <si>
    <t>NOT_HEAT_P1</t>
  </si>
  <si>
    <t>Транспортные расходы</t>
  </si>
  <si>
    <t>Расходы на услугу водоотведения</t>
  </si>
  <si>
    <t>Транспортировка тепловой энергии (рабочее тело) по сетям</t>
  </si>
  <si>
    <t>Техническое освидетельствование, диагностика,  режимное ипытание котлов,  другого обоорудования</t>
  </si>
  <si>
    <t>Обеспечение ГО, ЧС, пожарной безопасности, предупреждение и ликвидация чрезвычайных ситуаций</t>
  </si>
  <si>
    <t>Лизинговые платежи</t>
  </si>
  <si>
    <t>Утилизация вредных отходов производства</t>
  </si>
  <si>
    <t>Плата за загрязнение окружающей среды</t>
  </si>
  <si>
    <t>Анализ воды, мониторинг загрязнения окружающей среды</t>
  </si>
  <si>
    <t>Налог на пользование водными объектами</t>
  </si>
  <si>
    <t>2.13.11</t>
  </si>
  <si>
    <t>Поверка приборов учета</t>
  </si>
  <si>
    <t>2.13.12</t>
  </si>
  <si>
    <t>Страхование гражданской ответственности</t>
  </si>
  <si>
    <t>2.13.13</t>
  </si>
  <si>
    <t>Другие расходы</t>
  </si>
  <si>
    <t>Добавить прочие расходы</t>
  </si>
  <si>
    <t>HEAT_P2</t>
  </si>
  <si>
    <t>NOT_HEAT_P2</t>
  </si>
  <si>
    <t>https://portal.eias.ru/Portal/DownloadPage.aspx?type=12&amp;guid=4ebf6965-16e3-488d-beca-b366289ae4a5</t>
  </si>
  <si>
    <t>COLDVSNA_P1</t>
  </si>
  <si>
    <t>тыс. куб. м</t>
  </si>
  <si>
    <t>HOTVSNA_P2</t>
  </si>
  <si>
    <t>VOTV_P1</t>
  </si>
  <si>
    <t>HEAT_P3</t>
  </si>
  <si>
    <t>Котельная №1/1, ул. Смирнова, 5</t>
  </si>
  <si>
    <t>Котельная №1/2, ул. Щербакова, 45</t>
  </si>
  <si>
    <t>Котельная квартала "Интернат", ул. Балабина, 22</t>
  </si>
  <si>
    <t>Котельная квартала "Тубдиспансера", ул. Лесная, 1</t>
  </si>
  <si>
    <t>Котельная Кирзавода, ул. Кирзаводская, 15</t>
  </si>
  <si>
    <t>Котельная по ул. Котовского, 1</t>
  </si>
  <si>
    <t>Котельная по ул. Советская, 81</t>
  </si>
  <si>
    <t>Котельная школы №6, ул. Клиновая, 1б</t>
  </si>
  <si>
    <t>Участок №1, котельной №2 ул. 2-ая Таежная, 35</t>
  </si>
  <si>
    <t>АМК г. Большой Камень, ул. Андреевская</t>
  </si>
  <si>
    <t>Котельная №1 г. Большой Камень, ул. Ворошилова, 42</t>
  </si>
  <si>
    <t>Котельная №1, п. Ю-Лифляндия, ул. Прибрежная</t>
  </si>
  <si>
    <t>Котельная №2, г. Большой Камень, ул. Коммунальная, 5</t>
  </si>
  <si>
    <t>Котельная №2, п. Ю-Лифляндия, ул. Прибрежная, 32а</t>
  </si>
  <si>
    <t>Котельная №3, г. Большой Камень, ул. Рабочая, 3Б</t>
  </si>
  <si>
    <t>Котельная №4, г. Большой Камень, ор-р 310 м на ю-в, ул. Ольховая, 19</t>
  </si>
  <si>
    <t>Котельная г. Большой Камень, ул. Андреевская</t>
  </si>
  <si>
    <t>Котельная с. Петровка, ул. Школьная, 1 (школа)</t>
  </si>
  <si>
    <t xml:space="preserve">Котельная "Силинский" г. Артем, с. Олений, 57 м в ю-в направлении от ю-в угла  дома по ул. Зоологической, 12 </t>
  </si>
  <si>
    <t>АМК Сш.№6 г.Артем, о-р 35 м на ю-з ул. Серова,16</t>
  </si>
  <si>
    <t>Молодежная г.Артем,  примерно в 66 м на ю-з от южного угла  дома по ул. Левицкого, 2</t>
  </si>
  <si>
    <t>АМК ПМК-57 г.Артем, ул.Виноградная,  3/1</t>
  </si>
  <si>
    <t>Сш. №22 г.Артем,  в 75 м на С-З от С-З угла жилого дома по пер. Русский, 1</t>
  </si>
  <si>
    <t>Авиационная г.Артем, 98 м на В от ор-ра  ул. Авиационной, 8</t>
  </si>
  <si>
    <t xml:space="preserve">№4 г. Артем, 66 м на С-Вот ор-ра ул. Берзарина, 11 </t>
  </si>
  <si>
    <t>№4/1 г. Артем, ул.Ангарская, 9а</t>
  </si>
  <si>
    <t>Сш.№35 г.Артем,33 м на с-з от ор-ра МОУ СОШ № 35 по ул. Ремзаводской, 5</t>
  </si>
  <si>
    <t xml:space="preserve">Подгородненка г.Артем, 45 м на с-з отор-ра ул. Есенина, 33 </t>
  </si>
  <si>
    <t>АМК Металлобаза г.Артем, в 30 м на север от ул. Саперная 4д</t>
  </si>
  <si>
    <t>Угловая г.Артем, ул.Сахалинская, 9</t>
  </si>
  <si>
    <t>Амурская  г. Артем, 88 м с от ор-ра, детского сада № 9 по ул. Полевая, д. 19</t>
  </si>
  <si>
    <t>АМК Сахалинская г.Артем, ул.Сахалинская, 52/1</t>
  </si>
  <si>
    <t>АМК Баумана г.Артем, в районе ул.Баумана 3/1</t>
  </si>
  <si>
    <t>АМК Общежитие г.Артем, ул. 1-ая  Рабочая, в районе дома 83/2</t>
  </si>
  <si>
    <t>АМК Уткинская г.Артем,  ул.Уткинская, 6</t>
  </si>
  <si>
    <t>Котельная МАЭ г.Артем, ул.Портовая, 41 (Аэропорт)</t>
  </si>
  <si>
    <t>АМК СШ №20 г.Артем</t>
  </si>
  <si>
    <t>Котельная №1с. Вольно-Надеждинское, ул. Анисимова, здание котельной № 1</t>
  </si>
  <si>
    <t>Котельная №2 с.В-Надеждинское, ул.Пушкина, 28а, 1970г</t>
  </si>
  <si>
    <t>АМК №6 с.Вольно-Надеждин.ул. Строителей,5</t>
  </si>
  <si>
    <t>Котельная №7 с.В-Надеждинское, ул.Геологов</t>
  </si>
  <si>
    <t xml:space="preserve">АМК №8 с.В-Надеждинское, ул. Трактовая, д.42 </t>
  </si>
  <si>
    <t>АМК №17 с. Прохладное,ул. Тимирязева , в р-не дома 3а</t>
  </si>
  <si>
    <t>АМК №18 с.Прохладное, в р-не ул.Центральня,45 б</t>
  </si>
  <si>
    <t>Котельная №3 п.Раздольное, ул.Чапаева,46, 1974г</t>
  </si>
  <si>
    <t>Котельная №4 п.Раздольное, ул.Буденного, 1974г</t>
  </si>
  <si>
    <t>АМК №9 п.Раздольное ул. Буденного, 3 Б</t>
  </si>
  <si>
    <t>Котельная №22 п.Раздольное, ул.Котовского,возле дома №1б</t>
  </si>
  <si>
    <t>Котельная №23 п.Раздольное, ул. Ленинская, возле дома № 2</t>
  </si>
  <si>
    <t>АМК №21 п. Раздольное, в 92 м на ю-з от ор-ра ул. Лазо, 15</t>
  </si>
  <si>
    <t>АМК №26 п.Оленевод, в районе ул.Садовая,1</t>
  </si>
  <si>
    <t>АМК №30 с.Кипарисово, ул.Черемуховая</t>
  </si>
  <si>
    <t>Котельная №10 п.Тавричанка, ул.Лесная, 12</t>
  </si>
  <si>
    <t>АМК №11 п.Тавричанка,в ра-не ул.Индустриальная,</t>
  </si>
  <si>
    <t>АМК №12 п. Тавричанка,в р-не ул. Целинной, 2</t>
  </si>
  <si>
    <t>Котельная №13 п.Девятый Вал, ул.Набивайло 14</t>
  </si>
  <si>
    <t>АМК-терморобот №20 п.Рыбачий</t>
  </si>
  <si>
    <t>Котельная №24 п.Тавричанка, ул.Осипенко</t>
  </si>
  <si>
    <t>Котельная №25 п.Тавричанка, ул.Геологов</t>
  </si>
  <si>
    <t>АМК №27 п.РВСп.Тавричанка,  в р-не ул. Радиостанция д. 1</t>
  </si>
  <si>
    <t>АМК №28 п. Морской в р-не д.1</t>
  </si>
  <si>
    <t>АМК №29 п.Раздольное,ул. Лазо, 57</t>
  </si>
  <si>
    <t>Котельная КШИ п.Раздольное, пер. Интернатный, 4</t>
  </si>
  <si>
    <t>АМК №5 п.Стеклозаводской, в 164 м на с-в от орентира ул. Трудовая д.20-1</t>
  </si>
  <si>
    <t>Котельная №16 ж/ст.Барановский, ул.Тополиная,возле дома № 1-а</t>
  </si>
  <si>
    <t>Котельная № 931 с.Раздольное, ул. Лазо, 318</t>
  </si>
  <si>
    <t>АМК № 62 п. Зима Южная, в ра-не ул.Озёрная, 5А</t>
  </si>
  <si>
    <t>АМК СШ №3 п. Раздольное, в 13м на с от ор-ра ул. Лазо,36а</t>
  </si>
  <si>
    <t>АМК п. Таёжный, в 14 м на ю от ор-ра ул. Мира,4 (комб. Чайка)</t>
  </si>
  <si>
    <t>Котельная №1 п.Зарубино, ул.Строительная,15</t>
  </si>
  <si>
    <t>Котельная №2 п.Зарубино, ул.Нагорная,2</t>
  </si>
  <si>
    <t>Котельная №1 пгт.Славянка (п.Нерпа), ул.Нерпинская, 7</t>
  </si>
  <si>
    <t>Котельная №2 п.Посьет, ул.Тупик портовый,3</t>
  </si>
  <si>
    <t>Котельная №1 п.Безверхово, ул.Совхозная,1в</t>
  </si>
  <si>
    <t>Котельная №2 п.Безверхово, ул.Советская, 3а</t>
  </si>
  <si>
    <t>Котельная №3 п.Перевозное, ул.Строительная, 3а</t>
  </si>
  <si>
    <t>Центр.кот. п.Барабаш, ул.Гагарина,31а</t>
  </si>
  <si>
    <t>Котельная №479 п.Барабаш ул.Гвардейская, 15а</t>
  </si>
  <si>
    <t>Котельная №569 п.Барабаш ул.Центральная, 5а</t>
  </si>
  <si>
    <t>Котельная п.Барабаш  ул. Рыбозавод 11а(Рыбзавод)</t>
  </si>
  <si>
    <t>Котельная №98 (ОКС) п.Барабаш</t>
  </si>
  <si>
    <t>Котельная №1 п.Приморский, ул.Молодежная,22</t>
  </si>
  <si>
    <t>Котельная №2 п.Приморский, ул.Центральная,21</t>
  </si>
  <si>
    <t>Котельная №1 п.Хасан, ул.Мошляка,18</t>
  </si>
  <si>
    <t>Котельная №1, п.Краскино, ул.Школьная, 1а</t>
  </si>
  <si>
    <t>АМК п.Гвоздево ул. Линейная,5</t>
  </si>
  <si>
    <t>АМК п.Гвоздево ул. Линейная,22</t>
  </si>
  <si>
    <t>Котельная №452 п.Краскино, ул.Стадионая</t>
  </si>
  <si>
    <t>Котельная №238 с.Занадворовка, ул.Гарнизонная</t>
  </si>
  <si>
    <t>АМК п.Краскино, ул. Гвоздева, 18А</t>
  </si>
  <si>
    <t>Котельная п.Посьет, ул. Ленинская, 4а</t>
  </si>
  <si>
    <t>АМК п. Посьет СОШ ор-р ул.Портовая 16А</t>
  </si>
  <si>
    <t>Модульная котельная с. Анисимовка, ул. Смольная 10а</t>
  </si>
  <si>
    <t>АМК п. Смоляниново, ул. Ленинская в р-не д.15</t>
  </si>
  <si>
    <t>Котельная №165 с.Новонежино, ул.Авиаторов, 33</t>
  </si>
  <si>
    <t>Котельная "Молодежная" с.Новонежино, ул.Молодежная, 1а</t>
  </si>
  <si>
    <t>АМК с. Анисимовка, ул.  Дачная, в р-не д.40Б</t>
  </si>
  <si>
    <t>Котельная школы п.Шкотово, ул.Советская,45Б</t>
  </si>
  <si>
    <t>Котельная АРЗ п.Шкотово, ул.Матюшкина,2</t>
  </si>
  <si>
    <t>Котельная гарнизона п.Шкотово, ул.Кирова,2а</t>
  </si>
  <si>
    <t>Котельная с.Штыково, ул.Гидроузла,1Б</t>
  </si>
  <si>
    <t>АМК с. Многоудобное в р-не ул.Зальпе, 3А</t>
  </si>
  <si>
    <t>Котельная с.Центральное, ул.Чапаева, 14</t>
  </si>
  <si>
    <t>Котельная с.Новороссия, ул.Школьная, 204</t>
  </si>
  <si>
    <t>Котельная №181 с.Романовка (ДЭУ), ул.Рудакова,2а</t>
  </si>
  <si>
    <t>Котельная №113 с.Романовка, ул.Гвардейская,6а</t>
  </si>
  <si>
    <t>Котельная №59 с.Романовка, ул.Гвардейская,203а</t>
  </si>
  <si>
    <t>Котельная №12 с.Многоудобное, ул.Первомайская 3</t>
  </si>
  <si>
    <t>Котельная №109 п. Шкотово, ул.Советская,1в (база)</t>
  </si>
  <si>
    <t>Котельная сш №27 п.Смоляниново, ул.Маяковского,37</t>
  </si>
  <si>
    <t>Котельная гарнизона п.Смоляниново, ул.Садовая,1а</t>
  </si>
  <si>
    <t>Котельная №4 п.Подъяпольск  ул. Центральная, дом 1А</t>
  </si>
  <si>
    <t xml:space="preserve">Котельная №5 п.Мысовое ул.Луговая, 10 </t>
  </si>
  <si>
    <t xml:space="preserve">котельная п.смоляниново </t>
  </si>
  <si>
    <t xml:space="preserve">Гореловская котельная г.Дальнегорск, ул.Приморская 2 </t>
  </si>
  <si>
    <t>Котельная с. Краснореченский, ул. Молодёжная 12</t>
  </si>
  <si>
    <t>Котельная с.Сержантово,ул.Советская,8</t>
  </si>
  <si>
    <t>Котельная п.Краснореченский, ул.Октябрьская 28</t>
  </si>
  <si>
    <t>АМК с.Краснореченский, ул. Речная, 37</t>
  </si>
  <si>
    <t>АМК с.Краснореченский, в 60м на ю-в от ор-ра ул. Школьная ,14</t>
  </si>
  <si>
    <t>Котельная п.Рудная Пристань, ул.Григория Милая 2б</t>
  </si>
  <si>
    <t>АМК п.Каменка, ул.Берзинская 39</t>
  </si>
  <si>
    <t>Котельная №4 г.Дальнегорск, пр-т 50 лет Октября, 324/115</t>
  </si>
  <si>
    <t>Центральная котельная г. Дальнегорск, Проспект 50 лет Октября 105-б</t>
  </si>
  <si>
    <t>Центральная котельная п.Кавалерово ул.Первомайская 9Б/3</t>
  </si>
  <si>
    <t>Котельная п.Фабричный ул.Комсомольская 107а</t>
  </si>
  <si>
    <t>Котельная п.Хрустальный ул.Центральная 27</t>
  </si>
  <si>
    <t>Котельная п.Рудный ул.Партизанская 6</t>
  </si>
  <si>
    <t>Котельная № 1 п. Кавалерово, ул. Арсеньева, 126а</t>
  </si>
  <si>
    <t>Котельная № 2 п.Горнореченск ул.Строительная, 32-1</t>
  </si>
  <si>
    <t>АМК с. Зеркальное, в 60м от с-в от ор-ра ул. Школьная, 1</t>
  </si>
  <si>
    <t>АМК с. Устиновка, в 20 м на ю-з от ор-ра ул.Центральная, 17а</t>
  </si>
  <si>
    <t>Котельная очистных сооружений п.Кавалерово ул.Гоголя 51А</t>
  </si>
  <si>
    <t>Центральная котельная п.Ольга, ул.Дзержинская 18</t>
  </si>
  <si>
    <t>АМК п. Ольга ЦРБ,  87м на ю-з от ор-ра  ул. Ворошилова,6</t>
  </si>
  <si>
    <t>АМК с. Серафимовка, Маматова 41</t>
  </si>
  <si>
    <t>Котельная с.Пермское СШ, ул.Совхозная</t>
  </si>
  <si>
    <t>АМК с. Михайловка СШ, 8м на з от ор-ра  ул. Центральная,15Г</t>
  </si>
  <si>
    <t>АМК с. Моряк-Рыболов, Бойлер №1, 20м на з от ор-ра  ул. Пограничная ,1</t>
  </si>
  <si>
    <t>АМК с. Моряк-Рыболов, Бойлер №2, 20м на з от ор-ра  ул. Пограничная ,1</t>
  </si>
  <si>
    <t>Котельная с.Моряк-Рыболов ЦРБ, ул.Ленинская 101 А</t>
  </si>
  <si>
    <t>Котельная с.Маргаритово СШ, ул.Школьная 11</t>
  </si>
  <si>
    <t>Котельная № 1 п.Тимофеевка, ул.Первомайская 8</t>
  </si>
  <si>
    <t>АМК № 2 п.Тимофеевка, ул.Морская, 6</t>
  </si>
  <si>
    <t>Котельная с.Ракушка, ул.Школьная 21</t>
  </si>
  <si>
    <t>Котельная с.Веселый Яр СДК, ул.Набережная, 57А</t>
  </si>
  <si>
    <t>АМК №13 с. Кокшаровка, ул. Советская,10</t>
  </si>
  <si>
    <t>АМК №14 с. Уборка, ул. Советская, 29</t>
  </si>
  <si>
    <t>Котельная №5 с.Чугуевка, ул Лесная, 55а</t>
  </si>
  <si>
    <t>Котельная НПБ с.Чугуевка, ул.Дзержинского, 11</t>
  </si>
  <si>
    <t>Котельная №1 с.Чугуевка ул.50лет Октября, 212</t>
  </si>
  <si>
    <t>Котельная №2 с.Чугуевка, ул.Комарова, 5</t>
  </si>
  <si>
    <t>АМК №210 "Пионер", с. Чугуевка, ул.Кустарная, 27а</t>
  </si>
  <si>
    <t>Котельная №4 с.Цветковка, ул.Львовская, 10а</t>
  </si>
  <si>
    <t>Котельная №6 с.Каменка, ул.Магистральная, 31а</t>
  </si>
  <si>
    <t>Котельная №7 с.Чугуевка, ул.Строительная, 2</t>
  </si>
  <si>
    <t>Котельная №8 с.Чугуевка, ул.Магистральная, 3а</t>
  </si>
  <si>
    <t>Котельная №9 с.Ново-Чугуевка, ул.Вокзальная, 12</t>
  </si>
  <si>
    <t>АМК №10 с. Булыго-Фадеево, Ленинская 51А</t>
  </si>
  <si>
    <t>АМК № 11 с. Соколовка, ул. Советская, 104</t>
  </si>
  <si>
    <t>АМК №12 с. Ново-Михайловка, ул. Советская,35</t>
  </si>
  <si>
    <t>Котельная №3 с.Чугуевка, ул.Кустарная, 29а</t>
  </si>
  <si>
    <t>Котельная №152 с.Чугуевка (В/г №2)</t>
  </si>
  <si>
    <t>АМК № 97 военного городка, с.Чугуевка</t>
  </si>
  <si>
    <t>Котельная №1 п.Горные Ключи, ул.Юбилейная, 3а</t>
  </si>
  <si>
    <t>АМК №30 п. Горные Ключи (ср. школа) ул. Санаторная 5</t>
  </si>
  <si>
    <t>АМК №2 п.Горные Ключи, ул.Набережная, 18</t>
  </si>
  <si>
    <t>Котельная №3 п.Кировский, ул.Советская, 55 Б</t>
  </si>
  <si>
    <t>Котельная №4 п.Кировский, ул.Колхозная, 29а</t>
  </si>
  <si>
    <t>Котельная №5 п.Кировский, ул.Набережная, 62 А</t>
  </si>
  <si>
    <t>Котельная №6 Мазутное хозяйство с.Авдеевка, ул.Октябрьская, 14</t>
  </si>
  <si>
    <t>Котельная №7 п.Кировский, ул.Уткинская, 53</t>
  </si>
  <si>
    <t>Котельная №8 п.Кировский, ул.Луговая 10</t>
  </si>
  <si>
    <t>Котельная №9 п.Кировский, ул.Юбилейная, 10а</t>
  </si>
  <si>
    <t>Котельная №10 с.Авдеевка, ул.Центральная ,18 (школа)</t>
  </si>
  <si>
    <t>Котельная №20 с.Преображенка, ул.Таежная, 17</t>
  </si>
  <si>
    <t>АМК №21 с. Уссурка, 10м на с от ор-ра  ул. Школьная, 4-Б</t>
  </si>
  <si>
    <t>АМК №23 с. Павло-Федоровка, 10м на з от ор-ра пер. Школьный,1в</t>
  </si>
  <si>
    <t>АМК №26 с.Увальное, ул.Полевая, 33</t>
  </si>
  <si>
    <t>АМК №27 с. Павло- Федоровка, 10м на ю-з от ор-ра ул. Мира,2 «а»</t>
  </si>
  <si>
    <t>АМК №28 п. Горные Ключи, ул. Октябрьская,21</t>
  </si>
  <si>
    <t>АМК №24 с.Родниковое, 100м на с-з от ор-ра  ул.Центральная, 1 А</t>
  </si>
  <si>
    <t>АМК  №11 с.Марьяновка, ул.Школьная, 8</t>
  </si>
  <si>
    <t>АМК №12 с.Крыловка, ул.Школьная, 21</t>
  </si>
  <si>
    <t>АМК №13 с.Руновка 20м на с от ор-ра ул. Кооперативная,6</t>
  </si>
  <si>
    <t>АМК №17 с.Комаровка, 80м на ю-з от ор-ра, ул. Школьная, 9</t>
  </si>
  <si>
    <t>АМК №18 с. Увальное, ул. Шоссейная,8а</t>
  </si>
  <si>
    <t>АМК №19 с. Увальное, 5м на ю от ор-ра ул. Первомайская,2б</t>
  </si>
  <si>
    <t>АМК №22 с.Шмаковка 10м на в от ор-ра пер. Школьный,1 А</t>
  </si>
  <si>
    <t>АМК №29 п. Горные ключи, 30м на ю-в от ор-ра ул. Коммунальников, 19 кв 1</t>
  </si>
  <si>
    <t>АМК №25 п.Кировский,10 м на ю от ор-ра ул. Пролетарская,3а</t>
  </si>
  <si>
    <t>Котельная №1-1 г.Дальнереченск, ул.Свободы 41</t>
  </si>
  <si>
    <t>Котельная №1-2 г.Дальнереченск, ул.Флегонтова 25а</t>
  </si>
  <si>
    <t>АМК №1-3 г. Дальнереченск, 10м на з от ор-ра ул.Пионерская,45а</t>
  </si>
  <si>
    <t>Котельная №1-5 г.Дальнереченск, ул.Шевчука 72</t>
  </si>
  <si>
    <t>АМК №1-7 г. Дальнереченск, 55м на с-з от ор-ра ул.Таврическая,87а</t>
  </si>
  <si>
    <t>АМК №1-14 г. Дальнереченск, 5м на с от ор-ра  ул.Промышленная ,10</t>
  </si>
  <si>
    <t>АМК №1-15 с. Лазо, 23м на з от ор-ра  ул.Строительная ,2а</t>
  </si>
  <si>
    <t>Котельная №1-18 г.Дальнереченск, ул.Энгельса 23</t>
  </si>
  <si>
    <t>АМК №1-25г. Дальнереченск, 20м на ю-з  от ор-ра ул.Некрасова,6</t>
  </si>
  <si>
    <t>АМК №1-26 г. Дальнереченск, ул.Рябуха, 73</t>
  </si>
  <si>
    <t>Котельная №1-27/1 ЛДК ул. 45 лет Октября 1</t>
  </si>
  <si>
    <t>Котельная №1-30 с.Сальское ул.Советская 2/15 (работает в межотопительный период)</t>
  </si>
  <si>
    <t>АМК  №1-30 с.Сальское, ул.Советская, 2/015</t>
  </si>
  <si>
    <t>Котельная №1-31 г.Дальнереченск, ул.Уссурийская 84</t>
  </si>
  <si>
    <t>АМК №1-32 п.Лазо (догоровные отношения отсутствуют)</t>
  </si>
  <si>
    <t>АМК №1- 40 с.Лазо ул.Стрелковая 1</t>
  </si>
  <si>
    <t>Котельная №1- 42 с.Графское ул. Графская, 2</t>
  </si>
  <si>
    <t>Котельная №1- 43 г.Дальнереченск - привокзальная, ул. Тополиная, 10</t>
  </si>
  <si>
    <t>Котельная №1-22 г.Дальнереченск с.Грушевое ул. Лазо,36</t>
  </si>
  <si>
    <t>АМК  №1-39 г.Дальнереченск ул. Ясная, 15</t>
  </si>
  <si>
    <t>Котельная №1-44 г.Дальнереченск ул.Киевская, 53</t>
  </si>
  <si>
    <t xml:space="preserve">Котельная №1-45 г. Дальнереченск ул. Краснофлотская, 18 Д </t>
  </si>
  <si>
    <t>Котельная №1-46 г. Дальнереченск ул. Ленина, 61</t>
  </si>
  <si>
    <t>Котельная №2-1 с.Сальское, ул.Советская, 13</t>
  </si>
  <si>
    <t>Котельная №2-4 с.Рождественка (школа), ул.50 лет Октября, 24а</t>
  </si>
  <si>
    <t>АМК №2-5 с.Веденка, 5м на з от ор-ра ул.Мелехина, 34а</t>
  </si>
  <si>
    <t>АМК №2-6 с.Веденка, 5м на з от ор-ра ул.Мелехина, 34а</t>
  </si>
  <si>
    <t>Котельная №2-7 с.Соловьевка (школа), ул.Центральная, 32</t>
  </si>
  <si>
    <t>Котельная №2-9 с.Ракитное (школа), ул.Советская, 25а</t>
  </si>
  <si>
    <t>Котельная №2-10 с.Ракитное (д/с), ул.Советская 22а</t>
  </si>
  <si>
    <t>АМК №2-11 с.Орехово (школа), 1м на ю-в от ор-ра ул.Кооперативная 54</t>
  </si>
  <si>
    <t>Котельная №2-12 с.Боголюбовка (школа), ул.Озерная 9а</t>
  </si>
  <si>
    <t>АМК №2-18 с.Малиново (школа), ул.Школьная 29а</t>
  </si>
  <si>
    <t>Котельная №2-13 с.Сретенка, ул. Лобода, 36</t>
  </si>
  <si>
    <t>Котельная №2/19 с.Веденка, ул.Малая Веденка, 8</t>
  </si>
  <si>
    <t>Котельная №3-1 с.Новопокровка, ул.Набережная 68а</t>
  </si>
  <si>
    <t>Котельная №3-2 с.Новопокровка, ул.Строительная 30в</t>
  </si>
  <si>
    <t>АМК №3-3 с.Новопокровка, 1,5м на ю от  ор-ра ул.Украинская 64а</t>
  </si>
  <si>
    <t>Котельная №3-4 с.Рощино, ул.Рощина 47</t>
  </si>
  <si>
    <t>АМК №3-18 с.Лукьяновка, 28м на з от ор-раул.Центральная 5</t>
  </si>
  <si>
    <t xml:space="preserve">Котельная № 3-6 с.Вострецово, ул.Нижегорная 34 </t>
  </si>
  <si>
    <t>Котельная № 3-7 с.Измайлиха, ул. Центральная 34а</t>
  </si>
  <si>
    <t>Котельная № 3-8 с.Мельничное, ул. Верхняя 1В</t>
  </si>
  <si>
    <t>Котельная № 3-9 с.Мельничное,  ул. Центральная 10</t>
  </si>
  <si>
    <t>АМК № 3-11 с. Крутой Яр,ул.Паровозная,5г</t>
  </si>
  <si>
    <t>Котельная № 3-12 с.Глубинное, ул.Коммунальная 8а</t>
  </si>
  <si>
    <t>Котельная № 3-5 с.Вострецово пер. Пионерский, 4а</t>
  </si>
  <si>
    <t>Котельная №1 г.Лесозаводск, ул.Пушкинская, 29б</t>
  </si>
  <si>
    <t>АМК №3 г.Лесозаводск, ул.Дзержинского, 18</t>
  </si>
  <si>
    <t>Котельная №10 г.Лесозаводск, ул.Сибирцева, 76</t>
  </si>
  <si>
    <t>Котельная №2 г.Лесозаводск, ул.Пушкинская, 31б</t>
  </si>
  <si>
    <t>АМК №4 г.Лесозаводск, ул.Вокзальная, 76а</t>
  </si>
  <si>
    <t>Котельная №7 г.Лесозаводск, ул.Мира, 10а</t>
  </si>
  <si>
    <t>Котельная №8 г.Лесозаводск, ул.Степная, 3б</t>
  </si>
  <si>
    <t>Котельная №9 г.Лесозаводск, ул.Будника, 123</t>
  </si>
  <si>
    <t>АМК №15 г.Лесозаводск, 30м на ю-з от ор-ра ул.Кравчука,1а</t>
  </si>
  <si>
    <t>Котельная №16 г.Лесозаводск, ул.Берёзовая, 10</t>
  </si>
  <si>
    <t>АМК №20 с.Невское,65м от ю-в от ор-ра ул.Спортивная,3</t>
  </si>
  <si>
    <t>АМК №21 с.Пантелеймоновка, ул.Школьная, 39а</t>
  </si>
  <si>
    <t>АМК №22 с.Пантелеймоновка, ул.Центральная, 29а</t>
  </si>
  <si>
    <t>АМК №27 с.Марково, ул.Волкова, 10а</t>
  </si>
  <si>
    <t>АМК №28 с.Марково, ул.Волкова, 35а</t>
  </si>
  <si>
    <t>АМК №31 с.Иннокентьевка, ул.Школьная, 1а</t>
  </si>
  <si>
    <t>АМК №33 с.Глазовка, ул.Центральная, 30</t>
  </si>
  <si>
    <t>Котельная №29 с.Курское, ул.Почтовая, 16</t>
  </si>
  <si>
    <t>Котельная №32 с.Тихменево, ул.Советская, 36</t>
  </si>
  <si>
    <t>АМК №23 с.Ружино,ул.Советская,44</t>
  </si>
  <si>
    <t>Котельная №19 г.Лесозаводск, ул.Пионерская, 4 (ст.Ружино)</t>
  </si>
  <si>
    <t>Котельная №11 г.Лесозаводск, ул.Ленинская, 44к</t>
  </si>
  <si>
    <t>Котельная №13 г.Лесозаводск, ул.Королёва, 3</t>
  </si>
  <si>
    <t>Котельная №36 г.Лесозаводск, ул.Челюскина, 11</t>
  </si>
  <si>
    <t>АМК №42 г.Лесозаводск, ул.Имени 12-ти,  9</t>
  </si>
  <si>
    <t>Котельная №18 г. Лесозаводск, ул.Тепличная, 6</t>
  </si>
  <si>
    <t>АМК №41 г.Лесозаводск, 15м на ю-з от ор-ра  ул.Паровозная, 1</t>
  </si>
  <si>
    <t>АМК №43 г.Лесозаводск, ул.Путейская,1г (ст.Ружино)</t>
  </si>
  <si>
    <t>Котельная №102.с.Пантилемоновка, 2100 м от перекрестка дорог Владивосток - Хабаровск и дороги на с.Пантелеймоновка на северо-запад</t>
  </si>
  <si>
    <t>Котельная №34 с.Светлогорье, ул.Хомякова 4</t>
  </si>
  <si>
    <t>АМК №33 с.Пожарское, 13м на з от ор-раул. Ленинская, 32в</t>
  </si>
  <si>
    <t>Котельная №35 с.Игнатьевка, ул.Советская, 4</t>
  </si>
  <si>
    <t>Котельная №36 с.Нагорное, ул.Юбилейная, 12</t>
  </si>
  <si>
    <t>Котельная №37 с.Федосьевка, ул.Советская, 18-а</t>
  </si>
  <si>
    <t>АМК №40 с.Красный Яр, ул.Арсеньева, 7а</t>
  </si>
  <si>
    <t>Котельная №38 с.Верхний перевал, ул.Школьная, 1-а</t>
  </si>
  <si>
    <t>Котельная №39 с.Новостройка, ул. Заводская 14</t>
  </si>
  <si>
    <t>Котельная № 1/01 с.Михайловка, ул.Новая,30</t>
  </si>
  <si>
    <t>Котельная № 1/06 с.Михайловка, ул.Вокзальная, 25</t>
  </si>
  <si>
    <t>Котельная № 1/09 с.Первомайское, ул.Дубковская, 36</t>
  </si>
  <si>
    <t>Котельная № 1/18 с.Ивановка, ул.Зареченская,51</t>
  </si>
  <si>
    <t>АМК № 1/19 с. Ивановка, ул.Приморская, 2</t>
  </si>
  <si>
    <t>АМК № 1/21с. Ивановка, 70м на ю-з от ор-ра ул.Кировская,  30</t>
  </si>
  <si>
    <t>Котельная № 1/25 с.Осиновка, ул.Рабочая, 2к</t>
  </si>
  <si>
    <t>АМК № 1/26 с. Кремово, 23м на з от ор-ра ул.Колхозная, 25</t>
  </si>
  <si>
    <t>АМК № 1/27 с.Ширяевка, ул.Октябрьская, 25 а</t>
  </si>
  <si>
    <t>Котельная № 1/29 с.Горное, ул.Лесная, 6</t>
  </si>
  <si>
    <t>Котельная № 1/31 п.Новошахтинский, ул.Производственная, 1-а</t>
  </si>
  <si>
    <t>Котельная № 1/33 с.Абрамовка, ул.Пионерская советская, 26</t>
  </si>
  <si>
    <t>АМК № 1/35 с.Григорьевка,(договорные отношения отсутствуют)</t>
  </si>
  <si>
    <t>Котельная № 1/05 с.Михайловка, ул. Дубининская, 3а гарнизон</t>
  </si>
  <si>
    <t>АМК № 1/07 с.Васильевка, ул. Гарнизонная 29 гарнизон</t>
  </si>
  <si>
    <t>АМК № 1/28 с. Кремово, ул.Городская, 181</t>
  </si>
  <si>
    <t>АМК № 1/22 с.Снегуровка, ул. Парковая 14а</t>
  </si>
  <si>
    <t>Котельная № 1/30 с.Ляличи, ул.Школьная, 141</t>
  </si>
  <si>
    <t>Котельная № 2/09 с. Полтавка, ул.Ленина, 39</t>
  </si>
  <si>
    <t>Котельная № 2/10 с.Галенки, ул.Советская, 116а</t>
  </si>
  <si>
    <t>АМК № 2/11 с. Фадеевка, 303м на ю-з от ор-ра ул.Кирова, 19</t>
  </si>
  <si>
    <t>АМК № 2/12 с. Фадеевка, 13м на с-в от ор-ра ул.Школьная, 2а</t>
  </si>
  <si>
    <t>АМК № 2/14 с.Дзержинское, ул.Первомайская, 5</t>
  </si>
  <si>
    <t>АМК № 2/15 с. Струговка, 6,5м на с-в от ор-ра пер. Школьный,15б</t>
  </si>
  <si>
    <t>Котельная № 2/16 с.Чернятино, ул.Зеленая, 7</t>
  </si>
  <si>
    <t>АМК № 2/05 с. Покровка, ул. Красноармейская, 9 ЦРБ</t>
  </si>
  <si>
    <t>Котельная № 2/03 с.Покровка, Рабочий переулок, 4 б</t>
  </si>
  <si>
    <t>АМК № 2/08 с.Покровка, ул.Карла Маркса,72 г</t>
  </si>
  <si>
    <t>Котельная № 2/07 с.Покровка, ул.Калинина, 1а</t>
  </si>
  <si>
    <t>Котельная № 2/18 с.Новогеоргиевка, ул.Краснодарская, 32</t>
  </si>
  <si>
    <t>Котельная № 2/30 п.Липовцы, ул.Зеленая 4а</t>
  </si>
  <si>
    <t xml:space="preserve">Котельная №2/19 с.Покровка, ул.Пионерская, 4Б </t>
  </si>
  <si>
    <t>Котельная № 2/01 с.Покровка, ул.Октябрьская, 3б</t>
  </si>
  <si>
    <t>Котельная № 2/02 с. Покровка, ул.50 лет Приморья 1б</t>
  </si>
  <si>
    <t>Котельная № 2/06 с.Покровка, ул.Карла Маркса, 13</t>
  </si>
  <si>
    <t>АМК № 2/13 с. Заречное, 27м на ю от ор-ра  ул. Центральная, 10</t>
  </si>
  <si>
    <t>Котельная № 2/20 п.Липовцы, ул.Комсомольская, 4а</t>
  </si>
  <si>
    <t>Котельная № 2/17 с.Новогеоргиевка, ул.Лазо, 168</t>
  </si>
  <si>
    <t>Котельная № 2/21 с.Галенки, ул. Комарова, 157</t>
  </si>
  <si>
    <t xml:space="preserve">АМК № 2/23 с.Покровка, 442м а с-в от ор-ра ул.Мелиораторов, 14 </t>
  </si>
  <si>
    <t>АМК №2/25 п.Липовцы ул.Шахта, 6</t>
  </si>
  <si>
    <t>Котельная № 2/22 с.Покровка, ул.Красноармейская, 2а/8</t>
  </si>
  <si>
    <t>Котельная № 2/24 с.Покровка, ул.Красноармейская, 34</t>
  </si>
  <si>
    <t>Котельная № 3/02 п.Пограничный, ул.Ленина 64 а</t>
  </si>
  <si>
    <t>Котельная № 3/01 п.Пограничный, улГагарина 9а</t>
  </si>
  <si>
    <t xml:space="preserve">Котельная № 3/03 п.Пограничный, ул.Дубовика, 22б </t>
  </si>
  <si>
    <t>АМК № 3/08 п.Пограничный, ул.Ленина, 10</t>
  </si>
  <si>
    <t>АМК-термороботы №3/9 п.Пограничный, ул.Лазо, 101</t>
  </si>
  <si>
    <t>АМК-термороботы №3/11 с.Барано-Оренбургское, ул.Тургенева, 16Б</t>
  </si>
  <si>
    <t>АМК № 3/12 с.Барано-Оренбургское, гарнизон СШ(договорные отношения отсутствуют)</t>
  </si>
  <si>
    <t>АМК-термороботы №3/13 с.Барано-Оренбургское, ул.Победы, 36А</t>
  </si>
  <si>
    <t>АМК № 3/14 с.Барано-Оренбургское, ул.Победы, 26 СДК</t>
  </si>
  <si>
    <t>АМК № 3/15 с.Бойкое, ул.Комарова 8</t>
  </si>
  <si>
    <t>АМК № 3/17 с. Барабаш - Левада, 3м на ю-в от ор-ра ул. Юбилейная, 28</t>
  </si>
  <si>
    <t>АМК № 3/19 с. Богуславка, 25м на с от ор-ра ул. Школьная, 48</t>
  </si>
  <si>
    <t>Котельная № 3/20 с.Жариково, ул.Кооперативная, 24а</t>
  </si>
  <si>
    <t>Котельная № 3/22 с.Нестеровка, ул.Советская, 7</t>
  </si>
  <si>
    <t>Котельная № 3/23 с.Сергеевка, ул. Школьная, 18 б</t>
  </si>
  <si>
    <t>АМК №3/7 п. Пограничный(договорные отношения отсутствуют)</t>
  </si>
  <si>
    <t>Котельная № 3/5 п.Пограничный в/г 2</t>
  </si>
  <si>
    <t>Котельная № 3/10 с.Барано-Оренбургское, гарнизон в/г 57</t>
  </si>
  <si>
    <t>Котельная №5/3 с.Камень-Рыболов, ул.Мира, 85-А</t>
  </si>
  <si>
    <t>Котельная №5/4 с.Камень-Рыболов, ул.Беговая, 33-А</t>
  </si>
  <si>
    <t>Котельная №5/5 с.Камень-Рыболов, ул.Трактовая, 32-Б</t>
  </si>
  <si>
    <t>Котельная №5/6 с.Астраханка, ул.Решетникова, 111-А</t>
  </si>
  <si>
    <t>АМК №5/7 с. Комиссарово, 75м на ю-в от ор-ра ул. Советская, 16Ж</t>
  </si>
  <si>
    <t>АМК №5/9 с.Ильинка, 112м на ю-з от ор-ра  ул.Столетия, 46</t>
  </si>
  <si>
    <t>Котельная №5/10 с.Новоселище, ул.Школьная, 24 А</t>
  </si>
  <si>
    <t>АМК №5/11 с.Владимиро-Петровка, ул.Лазо, 5-В</t>
  </si>
  <si>
    <t>АМК №5/12 с.Мельгуновка, ул.Ленинская, 9</t>
  </si>
  <si>
    <t>АМК №5/14 с. Камень-Рыбылов, ул. Железнодорожная, 23 б</t>
  </si>
  <si>
    <t>Котельная №5/8 с.Камень-Рыболов, ул.Некрасова, 1В</t>
  </si>
  <si>
    <t>АМК №5/13 с. Троицкое (договорные отношения отсутствуют)</t>
  </si>
  <si>
    <t>Котельная №5/2 с.Камень-Рыболов (военная кот.№275)</t>
  </si>
  <si>
    <t>Котельная №4/1 с.Хороль, ул.Октябрьская, 14а</t>
  </si>
  <si>
    <t xml:space="preserve">Котельная №4/5 с.Хороль, микрорайон "Городок-5" </t>
  </si>
  <si>
    <t>Котельная №4/6 с.Хороль, ул.Луговая,7б</t>
  </si>
  <si>
    <t>Котельная №4/10 с.Хороль, ул.Солнечная, 12</t>
  </si>
  <si>
    <t>АМК №4/12 с.Хороль, ул.Луговая, 64</t>
  </si>
  <si>
    <t>АМК №4/15 с.Сиваковка, 235м на в от ор-ра ул.Ленинская, 5</t>
  </si>
  <si>
    <t>АМК №4/14 с.Н-Девица, ул.Сибирцева, 33</t>
  </si>
  <si>
    <t>АМК №4/23 с. Благодатное, ул.Ленинская, 42</t>
  </si>
  <si>
    <t>АМК №4/19 п.Ярославский, ул.Некрасова, 25б</t>
  </si>
  <si>
    <t>Котельная №4/20 с.Вознесенское, ул.Крупская, 19а</t>
  </si>
  <si>
    <t>АМК №4/21 с.Лучки, 2м на в от ор-ра ул.Комсомольская 25А</t>
  </si>
  <si>
    <t>АМК-термороботы №4/24 с.Прилуки, ул.Новая, 23</t>
  </si>
  <si>
    <t>АМК-термороботы №4/16 с.Поповка, ул.Леонова, 1</t>
  </si>
  <si>
    <t>Котельная №4/4 п.Ярославский, ул.Лазо,8а</t>
  </si>
  <si>
    <t>АМК №4/11  с.Хороль, 67м на с-з от ор-ра ул.Октябрьская, 42</t>
  </si>
  <si>
    <t>Котельная №1/1 г.Находка, ул.Пирогова, 19</t>
  </si>
  <si>
    <t>Котельная №1/3 г.Находка, ул.Судоремонтная, 5</t>
  </si>
  <si>
    <t>Котельная №1/4 г.Находка, ул.Тимирязева, 26А</t>
  </si>
  <si>
    <t>Котельная №1/5 г.Находка, ул.Макарова, 85</t>
  </si>
  <si>
    <t>АМК №1/7 г.Находка, 185м на ю-в от ор-ра ул.Вознесенская,13</t>
  </si>
  <si>
    <t>Котельная №2/1 г.Находка, ул.Кольцевая,  1а</t>
  </si>
  <si>
    <t>Котельная №2/2 г.Находка, ул.Седова, 2а</t>
  </si>
  <si>
    <t>Котельная №2/3 г.Находка, ул.Владивостокская, 34</t>
  </si>
  <si>
    <t>Котельная №3/1 г.Находка, ул.Пограничная, 54а</t>
  </si>
  <si>
    <t>Котельная №3/3 г.Находка, ул.Школьная, 24</t>
  </si>
  <si>
    <t>Котельная №3/4 г.Находка, ул.Красноармейская, 24</t>
  </si>
  <si>
    <t>Котельная №3/6 г.Находка, ул.Постышева, 20а</t>
  </si>
  <si>
    <t>Котельная №4/8 г.Находка, ул.2-я Промышленная, 14</t>
  </si>
  <si>
    <t>Котельная №4/13 г.Находка, ул.Малиновского, 30а</t>
  </si>
  <si>
    <t>Котельная №5/2 п.Врангель, ул.Васяновича, 11</t>
  </si>
  <si>
    <t>АМК №5/3 п.Врангель, ор-н 105 м на С-З от ул.Набережная, 85 (Козьмина)</t>
  </si>
  <si>
    <t>Котельная №5/4 п.Врангель, ул.Железнодорожников, 4</t>
  </si>
  <si>
    <t>Котельная №6/1 п.Южно-Морской, ул.Центральная, 9ж (Южморрыбфлот)</t>
  </si>
  <si>
    <t>Котельная №6/2 п.Южно-Морской, ул.Набережная, 42</t>
  </si>
  <si>
    <t>АМК №6/5 с.Анна, ул.Набережная, стр.7</t>
  </si>
  <si>
    <t>Котельная №4/18 г.Находка, ул.Михайловская, 103 (Водоканал)</t>
  </si>
  <si>
    <t>Котельная №3/2 г.Находка, ул.Пограничная, 100</t>
  </si>
  <si>
    <t>Котельная №4/1 г.Находка, ул.Сидоренко, 11</t>
  </si>
  <si>
    <t>АМК №4/4 г.Находка, 35м на с-в от ор-ра ул.Садовая,1</t>
  </si>
  <si>
    <t>АМК №4/7 г.Находка, ул.Шоссейная, 22 б</t>
  </si>
  <si>
    <t xml:space="preserve">Котельная №4/10 г.Находка, ул.Шевченко, 1а </t>
  </si>
  <si>
    <t>АМК №4/12 г.Находка, ул.Угольная, 53а</t>
  </si>
  <si>
    <t>Котельная №4/15 с.Голубовка, ул. Радиостанция 1 а (радиостанция "Морснаб")</t>
  </si>
  <si>
    <t>АМК №4/16 г.Находка, ул.Перевальная, 104 (АСФА)</t>
  </si>
  <si>
    <t>Котельная №5/1 п.Врангель, ул.Первостроителей, 2б</t>
  </si>
  <si>
    <t>Котельная №5/5 п.Врангель, ул.Внутрипортовая, 13 (Общежитие)</t>
  </si>
  <si>
    <t>Котельная №6/6 с.Душкино, ул.Ускова, 1б</t>
  </si>
  <si>
    <t xml:space="preserve">Котельная №4/17 г.Находка, ул.Станционная, 1 </t>
  </si>
  <si>
    <t>АМК №4/14 г.Находка,60м на с-з от ор-ра ул.Береговая,23</t>
  </si>
  <si>
    <t>Котельная №4/9 г.Находка, Линейная, 2б</t>
  </si>
  <si>
    <t>Котельная №2/8 г.Находка, ул.Портовая, 226 (ОАО "Тепловые сети Находка"НМРП)</t>
  </si>
  <si>
    <t>АМК №4/20 г.Находка,55 м. на запад от ор-ра ул.Надежды,1</t>
  </si>
  <si>
    <t>Котельная №4/19"Офис", Северный проспект,61</t>
  </si>
  <si>
    <t>Котельная №5/1 п.Преображение, ул.Портовая, 10</t>
  </si>
  <si>
    <t>Котельная №5/2 п.Преображение, ул.30 лет Победы, 11А</t>
  </si>
  <si>
    <t>Котельная №5/3 п.Преображение, пер.Партизанский, 20</t>
  </si>
  <si>
    <t>Котельная №5/4 п.Преображение, ул.Молодежная, 20</t>
  </si>
  <si>
    <t>Котельная №5/5 п.Преображение, ул.Заречная, 31</t>
  </si>
  <si>
    <t>Котельная №6/7 с.Лазо, ул.Ключевая, 38А</t>
  </si>
  <si>
    <t>АМК  №6/8 с.Лазо, ул.Советская, 69А</t>
  </si>
  <si>
    <t>Котельная №6/9 с.Лазо, ул.Некрасовская, 1А</t>
  </si>
  <si>
    <t>Котельная №6/14 с.Киевка, ул.Дачная, 26 в/г 62</t>
  </si>
  <si>
    <t>Котельная №6/15 с.Валентин, ул.Комсомольская, 8Б</t>
  </si>
  <si>
    <t>Котельная №6/16 с.Валентин, ул.Школьная, 27</t>
  </si>
  <si>
    <t>Котельная №6/17 с.Глазковка, ул.Подгорная, 8</t>
  </si>
  <si>
    <t>Котельная №6/18 с.Сокольчи, ул.Шоссейная, 52</t>
  </si>
  <si>
    <t>Котельная №6/19 с.Беневское, ул.Садовая, 7а</t>
  </si>
  <si>
    <t>Котельная №6/20 с.Черноручье, ул.Шевченко, 27</t>
  </si>
  <si>
    <t>Котельная №6/24 с.Киевка, пер.Школьный, 1</t>
  </si>
  <si>
    <t>Котельная №2/3 г.Партизанск, ул.Партизанская, (УПТК) 71с</t>
  </si>
  <si>
    <t>Котельная №1/9 г.Партизанск, ул.Обогатительная, 15с</t>
  </si>
  <si>
    <t>Котельная №2/10 г.Партизанск, ул.Ленинская, 54</t>
  </si>
  <si>
    <t>Котельная №1/13 г.Партизанск, ул.Партизанская, 157</t>
  </si>
  <si>
    <t>АМК №1/32 г.Партизанск ул.П.Кашина</t>
  </si>
  <si>
    <t>Котельная №2/28 п.Авангард, ул.Ботаническая, 49</t>
  </si>
  <si>
    <t>Котельная №2/15 п. Углекаменск, ор-но 320 м на С от ул.Калинина,20</t>
  </si>
  <si>
    <t>АМК №1/31  г. Партизанск, ул. 1-я Красноармейская, 64-с</t>
  </si>
  <si>
    <t>АМК №1/33 г.Партизанск,94м на ю-з от ор-ра ул. Московская,1</t>
  </si>
  <si>
    <t>Котельная №1/39 г.Партизанск, ул.Пушкинская, 72 с</t>
  </si>
  <si>
    <t>Котельная №1/44 г.Партизанск, ул.Мирошниченко, 15 с</t>
  </si>
  <si>
    <t>Котельная №1/41 г.Партизанск, ул.Комсомольская, 2Б</t>
  </si>
  <si>
    <t>Котельная №1 г.Спасск-Дальний, ул.Парковая, 3</t>
  </si>
  <si>
    <t xml:space="preserve">Котельная №2 с.Спасское, пер. Больничный, 2 </t>
  </si>
  <si>
    <t>Котельная №3 г.Спасск-Дальний, ул.Пограничная, 31</t>
  </si>
  <si>
    <t>Котельная №4 г.Спасск-Дальний, ул.Силикатная, 3/6</t>
  </si>
  <si>
    <t>Котельная №5 г.Спасск-Дальний, ул.Красногвардейская, 130</t>
  </si>
  <si>
    <t>Котельная №7 г.Спасск-Дальний, ул.Советская, 3</t>
  </si>
  <si>
    <t>Котельная №8 г.Спасск-Дальний, ул.Цементная, 2 корп.32</t>
  </si>
  <si>
    <t>Котельная №9 г.Спасск-Дальний, ул.Горького 25/1</t>
  </si>
  <si>
    <t>Котельная №3 - а г.Спасск-Дальний, ул.Приморская, 10</t>
  </si>
  <si>
    <t>Котельная №2 г.Спасск-Дальний, ул.1-я Гражданская, 10 а</t>
  </si>
  <si>
    <t>Котельная №4 с.Гайворон, ул.Ленинская, 39б</t>
  </si>
  <si>
    <t>Котельная №5 с.Новосельское, ул.Центральная, 9а</t>
  </si>
  <si>
    <t>АМК №6 г.Спасск- Дальний ул. Ангарская,11/1</t>
  </si>
  <si>
    <t>АМК №7  с. Степная, 15м на ю-з от ор-раЦентральная, 6</t>
  </si>
  <si>
    <t>Котельная №11 с.Славинка, ул.Преображенская, 21</t>
  </si>
  <si>
    <t>Котельная №14 с.Хвалынка, ул.Советская, 24а</t>
  </si>
  <si>
    <t>Котельная №15 с.Буссевка, ул.Светлая, 22а</t>
  </si>
  <si>
    <t>Котельная №20 с.Вишневка, пер. Школьный, 1в</t>
  </si>
  <si>
    <t>АМК  №21 с.Красный Кут, ул.Мира, 17а</t>
  </si>
  <si>
    <t>АМК №22 с.Красный Кут, 14м на с от ор-ра ул.Октябрьская, 82</t>
  </si>
  <si>
    <t>Котельная №23 с.Дубовское, ул.Молодежная, 35а</t>
  </si>
  <si>
    <t>Котельная №25 с.Прохоры, пер.Школьный, 1а</t>
  </si>
  <si>
    <t>Котельная №28 с.Духовское, ул.Советская, 28</t>
  </si>
  <si>
    <t>Котельная №30 с.Новоруссановка, ул.Школьная, 11</t>
  </si>
  <si>
    <t>Котельная №31 с.Кронштадка, ул.Борисова, 6а</t>
  </si>
  <si>
    <t>Котельная №32 с.Свиягино, ул.Партизанская, 22</t>
  </si>
  <si>
    <t>Котельная №35 с.Чкаловкое, пер. Первомайский, 1а</t>
  </si>
  <si>
    <t>АМК №35 с.Чкаловкое, пер. Первомайский, 1а</t>
  </si>
  <si>
    <t>Котельная №36 с.Зеленодольское, ул.Советская, 1а</t>
  </si>
  <si>
    <t>АМК №37 с.Александровка, ул. Уборевича, 65</t>
  </si>
  <si>
    <t>Котельная №38 с.Александровка, ул.Советская, 72а</t>
  </si>
  <si>
    <t>Котельная №42 с.Лётно-Хвалынское, ул.Первомайская 26</t>
  </si>
  <si>
    <t>Котельная №43 г.Спасск-Дальний, ул.Приморская, 18, корпус 3</t>
  </si>
  <si>
    <t>Котельная №14 с.Реттиховка, ул.Заречная, 5</t>
  </si>
  <si>
    <t>Котельная №15 с.Дмитриевка, ул.Мира, 7а</t>
  </si>
  <si>
    <t>Котельная №16 с.Дмитриевка, ул.Советская, 25а</t>
  </si>
  <si>
    <t>Котельная ПНИ с.Майское, ул.60 лет Октября, 9</t>
  </si>
  <si>
    <t>Котельная с.Синий Гай, ул.Советская, 7а</t>
  </si>
  <si>
    <t>Котельная с.Меркушевка, ул.Ленинская, 42</t>
  </si>
  <si>
    <t>Котельная ПУ-59 с.Чкаловское, пер.Торговый, 36</t>
  </si>
  <si>
    <t>Котельная №44 г.Спасск-Дальний, ул.Заводская, 17</t>
  </si>
  <si>
    <t>Котельная №45 г.Спасск-Дальний, ул.Красногвардейская, 128, корпус 4 (очистные сооружения)</t>
  </si>
  <si>
    <t>Котельная №46 п.Красный Кут, в/г 21</t>
  </si>
  <si>
    <t>АМК №47 ст. Старый Ключ ул. Раздольная, 2</t>
  </si>
  <si>
    <t>Котельная №1 (центральная) с.Анучино, ул.Банивура, 7</t>
  </si>
  <si>
    <t>Котельная №2 (квартальная) с.Анучино, ул.50 лет ВЛКСМ, 48а</t>
  </si>
  <si>
    <t>Котельная №3 с.Н.Гордеевка, ул.Мира,4</t>
  </si>
  <si>
    <t>Котельная №4 с.Ст.Варваровка,  ул.Мира, 6</t>
  </si>
  <si>
    <t>Котельная №5 (база), с. Анучино, ул.Горького,37</t>
  </si>
  <si>
    <t>Котельная №7 ЦРБ, с. Анучино, ул.Лазо, 18</t>
  </si>
  <si>
    <t>Котельная №8 Модульная с.Тихоречное, ул.Молодежная,23</t>
  </si>
  <si>
    <t>Котельная №10 Модульная с.Чернышевка, ул.Лермонтова 1а</t>
  </si>
  <si>
    <t>Котельная №12 с.Пухово, ул.Пригородная 17а</t>
  </si>
  <si>
    <t>Котельная №11  ПУ-53 с.Чернышевка, ул. Лазо 20</t>
  </si>
  <si>
    <t>Котельная №1 с.Яковлевка, ул.Ленинская, 24а</t>
  </si>
  <si>
    <t>Котельная №2 с.Яковлевка, ул.50 лет ВЛКСМ, 48а</t>
  </si>
  <si>
    <t>Котельная №3 с. Яковлевка, ул. Фадеева, 9а</t>
  </si>
  <si>
    <t>Котельная №4 с. Яковлевка, ул.Центральная, 23а</t>
  </si>
  <si>
    <t>АМК с.Покровка, ул. Центральная, 36</t>
  </si>
  <si>
    <t>АМК с.Новосысоевка, пер.Заводской, 11</t>
  </si>
  <si>
    <t>Котельная № 5 жд.ст. Варфоломеевка ,ул. Почтовая, 50</t>
  </si>
  <si>
    <t>Котельная №8 с. Варфоломеевка, пер. Набережный, 21</t>
  </si>
  <si>
    <t>Котельная №6 п. Минеральный, ул.Вокзальная, 8</t>
  </si>
  <si>
    <t>Котельная №2 с.Черниговка ул.Ленинская,50 1984г</t>
  </si>
  <si>
    <t>Котельная №3 с.Черниговка ул.Советская ,69-а 1992г</t>
  </si>
  <si>
    <t>Котельная №4 с.Черниговка ул.Ю Пионеров, 9-в 1976г</t>
  </si>
  <si>
    <t>Котельная №5 с.Черниговка ул. Ю.пионеров ,37 1959г база</t>
  </si>
  <si>
    <t>Котельная №6 с.Черниговка ул.Ленинская, 93 1996г</t>
  </si>
  <si>
    <t>Котельная №7 с.Черниговка ул.Лазо, 22-а 1983г</t>
  </si>
  <si>
    <t>Котельная №8 с.Черниговка ул.Партизанская, 108</t>
  </si>
  <si>
    <t>Котельная №10 с.Черниговка ул.Крупозавод,3 1927г</t>
  </si>
  <si>
    <t>Котельная №11 с.Черниговка  ул.Буденного,69-а 1975г</t>
  </si>
  <si>
    <t>Котельная №12 с.Черниговка ул.Заводская,31 1985г</t>
  </si>
  <si>
    <t>Котельная №17 с.Черниговка ул.Пушкинская,99-б 2002г</t>
  </si>
  <si>
    <t>Котельная №23 с.Черниговка  ул.Партизанская,195-б 1987г</t>
  </si>
  <si>
    <t>Котельная №18, пгт. Сибирцево, ул. Вокзальная, д 19</t>
  </si>
  <si>
    <t>Котельная №20, пгт. Сибирцево, ул. ул. Комсомольская, 5</t>
  </si>
  <si>
    <t>кот РЖД Сибирцево</t>
  </si>
  <si>
    <t>Котельная №22, с. Монастырище, ул. Лазо, 24а.</t>
  </si>
  <si>
    <t>Котельная №21, пгт. Сибирцево, ул. Путейская, 13а</t>
  </si>
  <si>
    <t>АМК  №29/1  о. Попова. В р-не жд по ул. Бассейная, 2</t>
  </si>
  <si>
    <t>АМК  №59 г.Владивосток ул. Рыбацкая, 2а</t>
  </si>
  <si>
    <t>АМК №1 г.Владивосток ул. Маковского, 53 а</t>
  </si>
  <si>
    <t>АМК №11 г.Владивосток п. Трудовое ул. Грибоедова, 47</t>
  </si>
  <si>
    <t>АМК №23 г.Владивосток ул. Маковского, 130</t>
  </si>
  <si>
    <t>АМК №24 г.Владивосток ул. Щитовая, 27</t>
  </si>
  <si>
    <t>АМК №29 о. Попова в районе ул. Советская, 20</t>
  </si>
  <si>
    <t>Котельная №35 (ТР) (КНД) г. Владивосток ул. Фанзавод, 1</t>
  </si>
  <si>
    <t>АМК №4 г.Владивосток ул. Главная, 21</t>
  </si>
  <si>
    <t>АМК №42 г.Владивосток п. Трудовое  ул. Лермонтова, 33а</t>
  </si>
  <si>
    <t>АМК №6 г.Владивосток ул. Сахарный ключ, 1</t>
  </si>
  <si>
    <t xml:space="preserve">АМК №84 г. Владивосток ул. Свердлова,30 </t>
  </si>
  <si>
    <t>АМК №85 г. Владивосток ул. Свердлова,30</t>
  </si>
  <si>
    <t>АМК Парус Надежды г.Владивосток, ул.Маковского,123</t>
  </si>
  <si>
    <t>Котельная №10 (ТР) г.Владивосток ул. Шишкина, 78</t>
  </si>
  <si>
    <t>Котельная №14 г.Владивосток ул. Грязелечебницы, 20</t>
  </si>
  <si>
    <t>Котельная №15 г.Владивосток ул. 2-я Линейная, 21</t>
  </si>
  <si>
    <t>Котельная №16 (ТР) г.Владивосток ул. Шишкина, 70</t>
  </si>
  <si>
    <t>Котельная №17 г.Владивосток ул. Щитовая, Горностай, 15 (в/г 115)</t>
  </si>
  <si>
    <t>Котельная №19 г.Владивосток ул. Есенина, 75</t>
  </si>
  <si>
    <t>Котельная №21 (ТР) г.Владивосток ул. Шишкина, 62</t>
  </si>
  <si>
    <t>Котельная №22 г.Владивосток ул. Маковского, 94</t>
  </si>
  <si>
    <t>Котельная №25 г.Владивосток ул. Калинина 115</t>
  </si>
  <si>
    <t>Котельная №27 г.Владивосток ул. Шкипера Гека, 3/14</t>
  </si>
  <si>
    <t>Котельная №3 г.Владивосток ул. Маковского, 41</t>
  </si>
  <si>
    <t>Котельная №30 (ТР)г.Владивосток ул. Фадеева, 49</t>
  </si>
  <si>
    <t>Котельная №31 г.Владивосток ул. Коммунаров, 41 б</t>
  </si>
  <si>
    <t>Котельная №34 г.Владивосток ул. Окатовая, 39</t>
  </si>
  <si>
    <t>Котельная №35 г.Владивосток ул. Фанзавод, д, 1</t>
  </si>
  <si>
    <t>Котельная №36 г.Владивосток ул. Главная, 39</t>
  </si>
  <si>
    <t>Котельная №37 г.Владивосток ул. Грязелечебницы, 11</t>
  </si>
  <si>
    <t>Котельная №38 г.Владивосток ул. Грязелечебницы, 1</t>
  </si>
  <si>
    <t>Котельная №39 г.Владивосток ул. Лермонтова, 57 а</t>
  </si>
  <si>
    <t>Котельная №40 г.Владивосток ул. Вавилова ,4</t>
  </si>
  <si>
    <t>Котельная №41 г.Владивосток ул. Крыгина, 19</t>
  </si>
  <si>
    <t>Котельная №43 о. Русский в р-не п. Подножье</t>
  </si>
  <si>
    <t>Котельная №44 о. Русский п. Бабкино, 18</t>
  </si>
  <si>
    <t>Котельная №45 о. Русский п. Бабкино, 63</t>
  </si>
  <si>
    <t>Котельная №46 в р-не о. Русский пос. Воевода</t>
  </si>
  <si>
    <t>Котельная №47 о. Русский в р-не пос. Рында 73</t>
  </si>
  <si>
    <t>Котельная №48 (ТР) о. Русский в р-не пос. Шигино</t>
  </si>
  <si>
    <t>Котельная №49 о. Русский, в р-не ул. Экипажная, 95</t>
  </si>
  <si>
    <t>Котельная №5 г.Владивосток ул. Успенского, 58</t>
  </si>
  <si>
    <t>Котельная №50 о. Русский в р-не ул. Экипажная, 107</t>
  </si>
  <si>
    <t>Котельная №51 о. Русский в районе п. Парис, 51</t>
  </si>
  <si>
    <t>Котельная №53 (ТР) о. Русский п. Мелководный, 31</t>
  </si>
  <si>
    <t>Котельная №54 о. Русский, п. Канал, 29</t>
  </si>
  <si>
    <t>Котельная №56 о. Русский в р-не пос. Поспелово, 66</t>
  </si>
  <si>
    <t>Котельная №58 г.Владивосток ул. Угрюмова, 7</t>
  </si>
  <si>
    <t>Котельная №60 п. Береговое, в районе ул. Набережная</t>
  </si>
  <si>
    <t>Котельная №61 г.Владивосток ул. 2-я Шоссейная ,1а</t>
  </si>
  <si>
    <t>Котельная №62 (ТР) г.Владивосток ул. Лянчихинская, 1</t>
  </si>
  <si>
    <t>Котельная №63 г.Владивосток ул. Калинина, 244</t>
  </si>
  <si>
    <t>Котельная №64 г.Владивосток ул. 4-я Восточная, 93</t>
  </si>
  <si>
    <t>Котельная №65 (ТР)г.Владивосток ул. Шестая, 6</t>
  </si>
  <si>
    <t>Котельная №7 г.Владивосток ул. Мусорского, 15</t>
  </si>
  <si>
    <t>АМК №70 о. Русский ул. Верхненабережная, 15</t>
  </si>
  <si>
    <t>Котельная №71 о. Русский  ул. Верхненабережная 15</t>
  </si>
  <si>
    <t>Котельная №72 о. Русский п. Шигино, 23</t>
  </si>
  <si>
    <t>Котельная №73 (ТР) о. Русский п. Рында</t>
  </si>
  <si>
    <t>Котельная №78 о. Русский п. Экипажный</t>
  </si>
  <si>
    <t>Котельная №79 г.Владивосток ул. Александровича, 48</t>
  </si>
  <si>
    <t>Котельная №80 (ТР) г.Владивосток ул. Шевченко, 86</t>
  </si>
  <si>
    <t>Котельная №81 г.Владивосток в районе ул. Щитовая, в/г 36</t>
  </si>
  <si>
    <t>Котельная №83 г.Владивосток ул. Мусоргского, 13 д</t>
  </si>
  <si>
    <t>Котельная №86 г. Владивосток ул. Шевченко, 13</t>
  </si>
  <si>
    <t>Котельная №9 г.Владивосток ул. Лермонтова, 8</t>
  </si>
  <si>
    <t>Котельная ДВО РАН г.Вл-к, пр-т 100 лет Вл-ку, 159</t>
  </si>
  <si>
    <t>Котельная №52 о. Русский в районе п. Мелководный, 43</t>
  </si>
  <si>
    <t>Санаторная школа-интернат г. Владивосток, Восточный проспект, 34</t>
  </si>
  <si>
    <t>Котельная № 3/6, с. Золотая Долина, ул. Спортивная, 3А</t>
  </si>
  <si>
    <t>Котельная № 3/7, с. Золотая Долина, ул. Летная, 10</t>
  </si>
  <si>
    <t>Котельная № 3/4, с. Владимиро-Александровское, ул. Мелиораторов, 24</t>
  </si>
  <si>
    <t>Котельная №3/2, с. Владимиро-Александровское, ул. Комсомольская,99</t>
  </si>
  <si>
    <t>Котельная № 4/19, пос. Волчанец, ул. Шоссейная, 72-а</t>
  </si>
  <si>
    <t>Котельная № 4/20, пос. Волчанец, ул. Набережная, 1-в</t>
  </si>
  <si>
    <t>Котельная № 4/21, пос. Волчанец, ул. Комсомольская, 1в</t>
  </si>
  <si>
    <t>АМК  № 3/3, с. Владимиро-Александровское, ул. Садовая, 1Б</t>
  </si>
  <si>
    <t>Котельная № 3/1, с. Владимиро-Александровское, ул. Партизанская, 15</t>
  </si>
  <si>
    <t xml:space="preserve">АМК № 4/14, с. Екатериновка, ул. Советская, 3а. </t>
  </si>
  <si>
    <t>Котельная № 4/15 с. Екатериновка, ул. Молодежная, 14</t>
  </si>
  <si>
    <t>Котельная № 4/17, п. Б. Кузнецов, ул. Нагорная, 2а</t>
  </si>
  <si>
    <t>Котельная № 4/16 с. Екатериновка, ул. Партизанская, 25а</t>
  </si>
  <si>
    <t>Котельная № 3/11, с. Сергеевка, ул. Толстого, 1а</t>
  </si>
  <si>
    <t>Котельная № 3/12, с. Сергеевка, ул. Лазо, 33б</t>
  </si>
  <si>
    <t>Котельная № 3/13, с. Сергеевка, ул. 2я Рабочая, 19а</t>
  </si>
  <si>
    <t>Котельная № 3/9, с. Новицкое, ул. Стрельникова 1А</t>
  </si>
  <si>
    <t>Котельная №3/10, с.Фроловка, ул.Кооперативная,1а</t>
  </si>
  <si>
    <t>Котельная №3/8, с.Перетино, ул.Черняховского,25</t>
  </si>
  <si>
    <t>Котельная №4/18, с. Новая Сила ,ул. Комарова,1а</t>
  </si>
  <si>
    <t>Котельная 3/5, с.Хмыловка, ул.40 лет Победы, 1-а</t>
  </si>
  <si>
    <t>hyp</t>
  </si>
  <si>
    <t>тыс. Гкал/год</t>
  </si>
  <si>
    <t>человек</t>
  </si>
  <si>
    <t>HEAT_P4</t>
  </si>
  <si>
    <t>VSNA</t>
  </si>
  <si>
    <t>тыс. кВт·ч на тыс. куб. м</t>
  </si>
  <si>
    <t>COLDVSNA_P2</t>
  </si>
  <si>
    <t>Добавить производственный объект</t>
  </si>
  <si>
    <t>HEAT_P5</t>
  </si>
  <si>
    <t>Котельная №1 с. Анучино, ул. Бонивура 7</t>
  </si>
  <si>
    <t>Котельная №10 с. Чернышевка, ул. Лермонтова, 1А</t>
  </si>
  <si>
    <t>Котельная №12 с. Пухово, ул. Пригородная, 17а</t>
  </si>
  <si>
    <t>Котельная №2 с. Анучино, ул. 50 лет ВЛКСМ, 26а</t>
  </si>
  <si>
    <t>Котельная №3  с. Новогордеевка, ул. Мира, 4</t>
  </si>
  <si>
    <t>Котельная №4 с. Староварваровка, ул. Мира, 6</t>
  </si>
  <si>
    <t>Котельная №5 (база) с. Анучино, ул. Горького, 37</t>
  </si>
  <si>
    <t>Котельная №7 ЦРБ, с. Анучино, ул. Лазо, 18/11</t>
  </si>
  <si>
    <t>Котельная №8 с. Тихоречное, ул. Молодежная, 23</t>
  </si>
  <si>
    <t>Котельная ПУ-53 №11 с. Чернышевка, ул. Лазо, 20</t>
  </si>
  <si>
    <t xml:space="preserve">АМК с. Новосысоевка, пер. Заводской, 10 </t>
  </si>
  <si>
    <t xml:space="preserve">АМК с. Покровка, ул. Центральная, 36 </t>
  </si>
  <si>
    <t>Котельная № 5 жд.ст. Варфоломеевка, ул.Почтовая,50</t>
  </si>
  <si>
    <t xml:space="preserve">Котельная №1 с. Яковлевка, ул.Ленинская, 24 </t>
  </si>
  <si>
    <t xml:space="preserve">Котельная №2  с. Яковлевка, ул. 50 лет ВЛКСМ, 48а </t>
  </si>
  <si>
    <t xml:space="preserve">Котельная №3 с. Яковлевка, ул. Фадеева, 9а </t>
  </si>
  <si>
    <t xml:space="preserve">Котельная №4 с. Яковлевка, ул.Центральная, 23а </t>
  </si>
  <si>
    <t>Котельная №6 п.Минеральный, ул. Вокзальная, 8</t>
  </si>
  <si>
    <t>АМК "Баумана" г. Артем, в районе ул. Баумана 3/1</t>
  </si>
  <si>
    <t>АМК "Металлобаза" г. Артем, ориентир ул.Сапёрная 4д</t>
  </si>
  <si>
    <t>АМК "Общежитие" г. Артем, ул. Рабочая 1-я, в районе д.83/2</t>
  </si>
  <si>
    <t>АМК "ПМК-57" г. Артем, ул. Виноградная, 3/1</t>
  </si>
  <si>
    <t>АМК "Сахалинская" г.Артем, в р-не ул.Сахалинская, д.52/1</t>
  </si>
  <si>
    <t>АМК "Уткинская" г. Артем, ул. Уткинская, д. 6</t>
  </si>
  <si>
    <t>АМК "Школа №6" г. Артем, ориентир ул. Серова, 16</t>
  </si>
  <si>
    <t>АМК СШ №20 г. Артем, ул. Гагарина, 135</t>
  </si>
  <si>
    <t>Котельная "Авиационная" г. Артем ул. Авиационная</t>
  </si>
  <si>
    <t>Котельная "Амурская" г. Артем, ул. Полевая, 20/1</t>
  </si>
  <si>
    <t>Котельная "МАЭ Владивосток" г. Артем ул. Портовая, 41</t>
  </si>
  <si>
    <t>Котельная "Молодежная" г. Артем ул. Достоевского, 48</t>
  </si>
  <si>
    <t>Котельная "Подгородненка" г. Артем ул. Есенина, 25/1</t>
  </si>
  <si>
    <t>Котельная "Силинский" п. Олений</t>
  </si>
  <si>
    <t>Котельная "Угловая" г. Артем ул. Сахалинская, 11</t>
  </si>
  <si>
    <t>Котельная "Школа №22" г. Артем пер. Русский, 1</t>
  </si>
  <si>
    <t>Котельная "Школа №35" г. Артем ул.Ремзаводская, 5</t>
  </si>
  <si>
    <t>Котельная №4 г.Артем п.Угловое, ул. Берзарина, 9/1</t>
  </si>
  <si>
    <t>Котельная №4/1 г. Артем ул. Ангарская, 9</t>
  </si>
  <si>
    <t>АМК № 28  п.Морской, в районе дома1</t>
  </si>
  <si>
    <t>АМК № 29 п. Раздольное, ул. Лазо, д. 57</t>
  </si>
  <si>
    <t>АМК № 30 с. Кипарисово</t>
  </si>
  <si>
    <t>АМК №11 п.Тавричанка, ул.Индустриальная в районе д.9</t>
  </si>
  <si>
    <t>АМК №12 п.Тавричанка, в районе ул. Целинной, дом 2</t>
  </si>
  <si>
    <t>АМК №17 с. Прохладное, ул. Тимирязева, в районе д.3 а</t>
  </si>
  <si>
    <t>АМК №18 с. Прохладное, в районе ул. Центральной, дом 45 б</t>
  </si>
  <si>
    <t>АМК №21 п.Раздольное ул.Гастелло д. 18</t>
  </si>
  <si>
    <t>АМК №26 п. Оленевод, в районе ул. Садовая, 1</t>
  </si>
  <si>
    <t>АМК №27 п. Тавричанка, в районе ул. Радиостанция, дом 1</t>
  </si>
  <si>
    <t>АМК №5 п.Стеклозаводский, ул.Трудовая, д.20-1</t>
  </si>
  <si>
    <t>АМК №6 с. В-Надеждинское, ул.Строителей, д.5</t>
  </si>
  <si>
    <t>АМК №62 п.Зима Южная, в р-не ул.Озерная, д.5А</t>
  </si>
  <si>
    <t>АМК №8 с. В-Надеждинское, ул.Трактовая, д.42</t>
  </si>
  <si>
    <t>АМК №9 п.Раздольное, в р-не ул.Буденного, д.3Б</t>
  </si>
  <si>
    <t>АМК с.Таежка, в р-не ул.Мира, д.4</t>
  </si>
  <si>
    <t>АМК СШ №3 п.Раздольное, в р-не ул.Лазо, д.36А</t>
  </si>
  <si>
    <t>Котельная № 931 п. Раздольное, военный городок №81</t>
  </si>
  <si>
    <t>Котельная №1 с.В-Надеждинское ул.Анисимова</t>
  </si>
  <si>
    <t>Котельная №10  п.Тавричанка ул.Лесная,12</t>
  </si>
  <si>
    <t>Котельная №13  п.Девятый Вал ул.Зеленая</t>
  </si>
  <si>
    <t>Котельная №16 ж/д ст. Барановский</t>
  </si>
  <si>
    <t>Котельная №2  с.В-Надеждинское ул. Пушкина, 28</t>
  </si>
  <si>
    <t>Котельная №20  п.Рыбачий</t>
  </si>
  <si>
    <t>Котельная №22  п.Раздольное ул.Котовского</t>
  </si>
  <si>
    <t>Котельная №23  п.Раздольное ул.Ленина</t>
  </si>
  <si>
    <t>Котельная №24  п.Тавричанка ул.Осипенко</t>
  </si>
  <si>
    <t>Котельная №25  п.Тавричанка ул.Геологов</t>
  </si>
  <si>
    <t>Котельная №4  п.Раздольное ул.Буденного</t>
  </si>
  <si>
    <t>Котельная №7  с.В-Надеждинское ул.Геологов</t>
  </si>
  <si>
    <t>АМК п. Краскино, ул. Гвоздево, д. 18 а</t>
  </si>
  <si>
    <t>АМК пгт.Посьет, ориентир ул.Портовая, 16А</t>
  </si>
  <si>
    <t>АМК с. Гвоздево, ул. Линейная, д.22</t>
  </si>
  <si>
    <t>АМК с. Гвоздево, ул. Линейная, д.5</t>
  </si>
  <si>
    <t>Водонасосная станция пгт. Приморский</t>
  </si>
  <si>
    <t>Котельная № 1 п.Зарубино, ул. Строительная</t>
  </si>
  <si>
    <t>Котельная № 2 п.Посьет, ул.Тупик портовый</t>
  </si>
  <si>
    <t>Котельная № 238 с.Занадворовка</t>
  </si>
  <si>
    <t>Котельная № 452 п. Краскино</t>
  </si>
  <si>
    <t>Котельная № 479 п.Барабаш</t>
  </si>
  <si>
    <t>Котельная № 569 п.Барабаш</t>
  </si>
  <si>
    <t>Котельная №1  п.Приморский  ул. Молодежная</t>
  </si>
  <si>
    <t>Котельная №1 п. Безверхово ул.Совхозная</t>
  </si>
  <si>
    <t>Котельная №1 п.Краскино</t>
  </si>
  <si>
    <t>Котельная №2  п.Безверхово ул. Комарова</t>
  </si>
  <si>
    <t>Котельная №2  п.Приморский ул. Центральная</t>
  </si>
  <si>
    <t>Котельная п.Барабаш, ул. Гагарина</t>
  </si>
  <si>
    <t>Котельная п.Перевозное ул.Строительная</t>
  </si>
  <si>
    <t>Котельная пгт.Посьет, ул.Ленинская, 4А</t>
  </si>
  <si>
    <t>Котельная с.Барабаш, ул. Рыбозавод, 11А</t>
  </si>
  <si>
    <t>Парокотельная №2  п.Зарубино, ул. Нагорная</t>
  </si>
  <si>
    <t>Центральная котельная №1 п.Нерпа ул. Нерпинская, 7</t>
  </si>
  <si>
    <t>Центральная котельная №1 п.Хасан</t>
  </si>
  <si>
    <t>АМК п.Смоляниново, в районе ул. Ленинская, в районе д.15</t>
  </si>
  <si>
    <t>АМК с.Анисимовка, в р-не ул.Дачная, д.40Б</t>
  </si>
  <si>
    <t>АМК с.Многоудобное, в р-не ул.Зальпе, д.3А</t>
  </si>
  <si>
    <t>Котельная "Смоляниново-1" п.Смоляниново, ул.Верхняя Садовая, 1</t>
  </si>
  <si>
    <t>Котельная "Школа №27" п.Смоляниново, ул.Маяковского</t>
  </si>
  <si>
    <t>Котельная №113 с.Романовка, ул.Гвардейская</t>
  </si>
  <si>
    <t>Котельная №12 (с.Многоудобное, ул.Первомайская)</t>
  </si>
  <si>
    <t>Котельная №181 с.Романовка, ул.Рудакова</t>
  </si>
  <si>
    <t>Котельная №4 п.Подъяпольск</t>
  </si>
  <si>
    <t>Котельная №5 п.Мысовое</t>
  </si>
  <si>
    <t>Котельная №59 с.Романовка, ул.Гвардейская</t>
  </si>
  <si>
    <t>Котельная АРЗ п.Шкотово, ул.Матюшкина</t>
  </si>
  <si>
    <t>Котельная гарнизона п.Шкотово, ул.Кирова</t>
  </si>
  <si>
    <t>Котельная конторы п. Шкотово</t>
  </si>
  <si>
    <t>Котельная п.Смоляниново</t>
  </si>
  <si>
    <t>Котельная с.Штыково, ул.Гидроузла</t>
  </si>
  <si>
    <t>Котельная школы п.Шкотово, ул.Советская</t>
  </si>
  <si>
    <t>Модульная котельная с. Анисимовка</t>
  </si>
  <si>
    <t>АМК №11, г. Владивосток, п.Трудовое, ул. Грибоедова, 47</t>
  </si>
  <si>
    <t>АМК №4, г. Владивосток, ул. Главная, 21</t>
  </si>
  <si>
    <t>АМК №42, г. Владивосток, п.Трудовое, ул. Лермонтова, 33</t>
  </si>
  <si>
    <t>АМК №59, г. Владивосток, ул. Рыбацкая, 2</t>
  </si>
  <si>
    <t>АМК №84, г. Владивосток, ул. Свердлова, 30</t>
  </si>
  <si>
    <t>АМК №85, г. Владивосток, ул. Свердлова, 30</t>
  </si>
  <si>
    <t>Котельная №14, г. Владивосток, ул. Грязелечебница, 20</t>
  </si>
  <si>
    <t>Котельная №15, г. Владивосток, ул. 2-я Линейная, 21</t>
  </si>
  <si>
    <t>Котельная №19, г. Владивосток, ул. Есенина, 75</t>
  </si>
  <si>
    <t>Котельная №36, г. Владивосток, ул. Главная, 39</t>
  </si>
  <si>
    <t>Котельная №37, г. Владивосток, ул. Грязелечебница, 11/1</t>
  </si>
  <si>
    <t>Котельная №38, г. Владивосток, ул. Грязелечебница, 1</t>
  </si>
  <si>
    <t>Котельная №39, г. Владивосток, ул. Лермонтова, 57а</t>
  </si>
  <si>
    <t>Котельная №40, г. Владивосток, ул. Вавилова, 4</t>
  </si>
  <si>
    <t>Котельная №61, г. Владивосток, ул. 2-я Шоссейная, 1а</t>
  </si>
  <si>
    <t>Котельная №64, г. Владивосток, ул. 4-я Восточная, 93</t>
  </si>
  <si>
    <t>Котельная №79, г. Владивосток, ул. Александровича, 48</t>
  </si>
  <si>
    <t>Котельная №9, г. Владивосток, ул. Лермонтова, 8</t>
  </si>
  <si>
    <t>Котельная ГОУ "Санаторная школа интернат" г. Владивосток, Восточный проспект, 34</t>
  </si>
  <si>
    <t>АМК "Парус Надежды" г. Владивосток, ул. Маковского, 123</t>
  </si>
  <si>
    <t>АМК №1, г. Владивосток, ул. Маковского, 53</t>
  </si>
  <si>
    <t>АМК №23, г. Владивосток, ул. Маковского, 130</t>
  </si>
  <si>
    <t>АМК №35, г. Владивосток, ул. Фанзавод,1</t>
  </si>
  <si>
    <t>АМК №6, г. Владивосток, ул. Сахарный ключ,1</t>
  </si>
  <si>
    <t>Котельная №10, г. Владивосток, ул. Шишкина, 78</t>
  </si>
  <si>
    <t>Котельная №16, г. Владивосток, ул. Шишкина, 70</t>
  </si>
  <si>
    <t>Котельная №21, г. Владивосток, ул. Шишкина, 62</t>
  </si>
  <si>
    <t>Котельная №22, г. Владивосток, ул. Маковского,94</t>
  </si>
  <si>
    <t>Котельная №3, г. Владивосток, ул. Маковского,41</t>
  </si>
  <si>
    <t>Котельная №35, г. Владивосток, ул. Фанзавод,1</t>
  </si>
  <si>
    <t>Котельная №5, г. Владивосток, ул. Успенского,58</t>
  </si>
  <si>
    <t>Котельная №58, г. Владивосток, ул. Адм. Угрюмова, 7</t>
  </si>
  <si>
    <t>Котельная №60, с. Береговое, ул. Набережная</t>
  </si>
  <si>
    <t>Котельная №62, г. Владивосток, ул. Лянчихинская, 1</t>
  </si>
  <si>
    <t>Котельная №65, г. Владивосток, ул. Шестая, 6</t>
  </si>
  <si>
    <t>Котельная №7, г. Владивосток, ул. Мусоргского,15</t>
  </si>
  <si>
    <t xml:space="preserve">Котельная №80, г. Владивосток, ул. Шевченко, 86 (1 кв. 2019 ФОТ добавлять к кот.№83) </t>
  </si>
  <si>
    <t>Котельная №83, г. Владивосток, ул. Мусоргского, 13д</t>
  </si>
  <si>
    <t>Котельная №86, г. Владивосток, ул. Шевченко, 13</t>
  </si>
  <si>
    <t>АМК №24, г. Владивосток, ул. Горностай, 20</t>
  </si>
  <si>
    <t>АМК №29, о. Попова, ул. Советская, 20</t>
  </si>
  <si>
    <t>АМК №29/1, о. Попова, ул. Бассейная, 2</t>
  </si>
  <si>
    <t>Котельная "Котельная с тепловыми сетями ДВО РАН" г. Владивосток, пр-т 100 лет Владивостоку, 159</t>
  </si>
  <si>
    <t>Котельная №17, г. Владивосток, ул. Горностай, 15 (в/г 115)</t>
  </si>
  <si>
    <t>Котельная №25, г. Владивосток, ул. Калинина,115</t>
  </si>
  <si>
    <t>Котельная №30, г. Владивосток, ул. Фадеева, 49</t>
  </si>
  <si>
    <t>Котельная №31, г. Владивосток, ул. Коммунаров, 41б</t>
  </si>
  <si>
    <t>Котельная №34, г. Владивосток, ул. Окатовая, 39</t>
  </si>
  <si>
    <t>Котельная №41, г. Владивосток, ул. Крыгина, 19</t>
  </si>
  <si>
    <t>Котельная №63, г. Владивосток, ул. Калинина, 244</t>
  </si>
  <si>
    <t>Котельная №81, г. Владивосток, ул. Щитовая, в/г 36</t>
  </si>
  <si>
    <t>АМК (ТР) №44, о.Русский, п. Бабкино</t>
  </si>
  <si>
    <t>АМК (ТР) №47, о.Русский, п. Рында, 74</t>
  </si>
  <si>
    <t>АМК №70, о.Русский, ул. Верхненабережная, 15</t>
  </si>
  <si>
    <t>Котельная №43, о.Русский, п. Подножье</t>
  </si>
  <si>
    <t>Котельная №44, о.Русский, п. Бабкино</t>
  </si>
  <si>
    <t>Котельная №45, о.Русский, п. Бабкино,63</t>
  </si>
  <si>
    <t>Котельная №46, о.Русский, п. Воевода</t>
  </si>
  <si>
    <t>Котельная №47, о.Русский, п. Рында, 74</t>
  </si>
  <si>
    <t>Котельная №48, о. Русский, п. Шигино</t>
  </si>
  <si>
    <t>Котельная №49, о.Русский, п. Экипажный, 95</t>
  </si>
  <si>
    <t>Котельная №50, о.Русский, п. Экипажный, 107</t>
  </si>
  <si>
    <t>Котельная №51, о.Русский, п. Парис</t>
  </si>
  <si>
    <t>Котельная №52, о.Русский, п. Мелководный, 43</t>
  </si>
  <si>
    <t>Котельная №53, о.Русский, п. Мелководный, 31</t>
  </si>
  <si>
    <t>Котельная №56, о.Русский, п. Поспелово, 66</t>
  </si>
  <si>
    <t>Котельная №73, о.Русский, п. Рында</t>
  </si>
  <si>
    <t>АМК № 11 с.Соколовка, ул.Советская, 90</t>
  </si>
  <si>
    <t>АМК №10 с.Булыга-Фадеева, ул.Ленинская, 43</t>
  </si>
  <si>
    <t>АМК №12 с.Ново-Михайловка</t>
  </si>
  <si>
    <t>АМК №13 с.Кокшаровка, ул.Советская, 10</t>
  </si>
  <si>
    <t>АМК №14 с.Уборка</t>
  </si>
  <si>
    <t>АМК №210 "Пионер", с.Чугуевка, ул.Кустарная, 36</t>
  </si>
  <si>
    <t>АМК №97 Военный городок</t>
  </si>
  <si>
    <t>Котельная №1  с.Чугуевка ул.50лет Октября, 212-Арс</t>
  </si>
  <si>
    <t>Котельная №152 с. Чугуевка, в/г, №2</t>
  </si>
  <si>
    <t>Котельная №2  с. Чугуевка, ул.Комарова,5-Арс</t>
  </si>
  <si>
    <t>Котельная №3 с. Чугуевка, ул.Кустарная 29а-Арс</t>
  </si>
  <si>
    <t>Котельная №4 с.Цветковка,  ул.Львовская 10а-Арс</t>
  </si>
  <si>
    <t>Котельная №6 с.Каменка, ул.Магистральная,31а-Арс</t>
  </si>
  <si>
    <t>Котельная №7 с. Чугуевка, ул.Строительная,2-Арс</t>
  </si>
  <si>
    <t>Котельная №8 с. Чугуевка, ул.Магистральная, 3а-Арс</t>
  </si>
  <si>
    <t>Котельная №9 с.Ново-Чугуевка, ул.Вокзальная, 12-Арс</t>
  </si>
  <si>
    <t>Котельный участок</t>
  </si>
  <si>
    <t>АМК с.Каменка, ул.Берзинская, 39</t>
  </si>
  <si>
    <t>АМК с.Тайга №1, ул.Школьная, 14</t>
  </si>
  <si>
    <t>АМК с.Тайга №2, ул.Речная, 37</t>
  </si>
  <si>
    <t>Гореловская котельная г. Дальнегорск, ул.Приморская 2 и тепловые сети</t>
  </si>
  <si>
    <t>Котельная №4</t>
  </si>
  <si>
    <t>Котельная п. Краснореченский, ул.Октябрьская 28</t>
  </si>
  <si>
    <t>Котельная п. Рудная Пристань, ул.Григория Милая 2б</t>
  </si>
  <si>
    <t>Котельная с. Сержантово, ул. Лесная</t>
  </si>
  <si>
    <t>АМК №1 п. Моряк-Рыболов, ул. Пограничная, 1</t>
  </si>
  <si>
    <t>АМК №2 п. Моряк-Рыболов, ул. Пограничная, 1</t>
  </si>
  <si>
    <t>АМК воинской части п.Тимофеевка, ул. Морская,8</t>
  </si>
  <si>
    <t>АМК с. Михайловка, ул. Центральная, 15Г</t>
  </si>
  <si>
    <t>АМК с.Зеркальное, ул.Школьная, 1</t>
  </si>
  <si>
    <t>АМК с.Серафимовка, ул.Маматова, 41</t>
  </si>
  <si>
    <t>АМК с.Устиновка, ул.Центральная, 17а</t>
  </si>
  <si>
    <t>АМК ЦРБ п.Ольга, ул. Ворошилова, 6</t>
  </si>
  <si>
    <t>Котельная № 1 п.Кавалерово, ул. Арсеньева, 126 А</t>
  </si>
  <si>
    <t>Котельная №1 п.Тимофеевка, ул.Первомайская, 5</t>
  </si>
  <si>
    <t>Котельная очистных сооружений п.Кавалерово ул.Гоголя 53</t>
  </si>
  <si>
    <t>Котельная п.Кавалерово и тепловые сети п. Кавалерово</t>
  </si>
  <si>
    <t>Котельная п.Фабричный, ул.Комсомольская, 107 А</t>
  </si>
  <si>
    <t>Котельная с. Ракушка, ул. Школьная, 21</t>
  </si>
  <si>
    <t>Котельная с.Веселый Яр, ул.Набережная, 57А</t>
  </si>
  <si>
    <t>Котельная школы с.Пермское, ул.Совхозная, 8 А</t>
  </si>
  <si>
    <t>Котельная школы, с. Маргаритово, ул.Школьная, 11</t>
  </si>
  <si>
    <t>Котельная пгт. Хрустальный, ул.Центральная, 27/1</t>
  </si>
  <si>
    <t>Центральная котельная  п.Ольга, ул.Дзержинская,18</t>
  </si>
  <si>
    <t>Центральная котельная с. Моряк-Рыболов, ул.Ленинская,101 А</t>
  </si>
  <si>
    <t>АМК  №12 с. Крыловка, ул. Школьная, 21</t>
  </si>
  <si>
    <t>АМК №11 с. Марьяновка, ул. Садовая</t>
  </si>
  <si>
    <t>АМК №13 с. Руновка, ул. Кооперативная 6</t>
  </si>
  <si>
    <t>АМК №17 с. Комаровка, ул. Школьная 9</t>
  </si>
  <si>
    <t>АМК №18 с. Увальное, ул. Шоссейная 8а</t>
  </si>
  <si>
    <t>АМК №19. с. Увальное, ул. Первомайская 2Б</t>
  </si>
  <si>
    <t>АМК №2 п. Горные Ключи, ул. Набережная, 18</t>
  </si>
  <si>
    <t>АМК №21. с. Уссурка, ул. Школьная 4Б</t>
  </si>
  <si>
    <t>АМК №22. с. Шмаковка, пер. Школьный, 1а</t>
  </si>
  <si>
    <t>АМК №23. с.Павло-Федоровка, пер. Школьный 1в</t>
  </si>
  <si>
    <t>АМК №24. с. Родниковый, ул. Центральная, 1а</t>
  </si>
  <si>
    <t>АМК №25. п. Кировский, ул. Пролетарская 3а</t>
  </si>
  <si>
    <t>АМК №26. с.Увальное, ул. Полевая</t>
  </si>
  <si>
    <t>АМК №27. с.Павло-Федоровка, ул. Мира 2а</t>
  </si>
  <si>
    <t>АМК №28. п.Горные Ключи, ул. Октябрьская, 21</t>
  </si>
  <si>
    <t>АМК №29 п. Горные ключи, ул. Коммунальников,19</t>
  </si>
  <si>
    <t>АМК №30. п.Горные Ключи, ул. Санаторная, д.5</t>
  </si>
  <si>
    <t>Котельная  №5 п.Кировский, ул. Набережная,62</t>
  </si>
  <si>
    <t>Котельная  №7 п.Кировский, ул. Уткинская, 53</t>
  </si>
  <si>
    <t>Котельная  №8 п.Кировский, ул. Набережная, 59</t>
  </si>
  <si>
    <t>Котельная  №9 п. Кировский, ул. Юбилейная, 10а</t>
  </si>
  <si>
    <t>Котельная №1. п. Горные Ключи, ул. Юбилейная, 3</t>
  </si>
  <si>
    <t>Котельная №10 с. Авдеевка</t>
  </si>
  <si>
    <t>Котельная №20. с. Преображенка, ул. Школьная</t>
  </si>
  <si>
    <t>Котельная №3 п.Кировский, ул. Советская, 55</t>
  </si>
  <si>
    <t xml:space="preserve">Котельная №4 п.Кировский ул. Колхозная 29 </t>
  </si>
  <si>
    <t>Котельная №6 Мазутное хозяйство с.Авдеевка, ул. Октябрьская, 14</t>
  </si>
  <si>
    <t>АМК № 3-11 с. Крутой Яр, ул. Паровозная (НЕ ИСПОЛЬЗОВАТЬ С 01.01.2024)</t>
  </si>
  <si>
    <t>АМК №1-14 г. Дальнереченск, ул. Промышленная 10</t>
  </si>
  <si>
    <t>АМК №1-15, п.Лазо, ул.Строительная 2а</t>
  </si>
  <si>
    <t>АМК №1-25, г.Дальнереченск, ул.Некрасова 6</t>
  </si>
  <si>
    <t>АМК №1-26, г.Дальнереченск, ул.Рябуха 73</t>
  </si>
  <si>
    <t>АМК №1-3 г. Дальнереченск, ул. Пионерская 45а</t>
  </si>
  <si>
    <t>АМК №1-30 с.Сальское, ул. Советская 2/015</t>
  </si>
  <si>
    <t>АМК №1-32, п.Лазо, ул.С.Лазо 43</t>
  </si>
  <si>
    <t>АМК №1-39, г.Дальнереченск, ул. Ясная</t>
  </si>
  <si>
    <t>АМК №1-40 с.Лазо</t>
  </si>
  <si>
    <t>АМК №1-7 г. Дальнереченск, ул. Таврическая 87а</t>
  </si>
  <si>
    <t>АМК №2-11, с.Орехово, ул.Кооперативная 54а(школа)</t>
  </si>
  <si>
    <t>АМК №2-18, с.Малиново (школа)</t>
  </si>
  <si>
    <t>АМК №2-5, с."Веденка", ул.Мелехина, 34а</t>
  </si>
  <si>
    <t>АМК №2-6, с.Веденка, ул. Калинина, 35а</t>
  </si>
  <si>
    <t>АМК №3-18, с.Лукьяновка, ул.Центральная 5а</t>
  </si>
  <si>
    <t xml:space="preserve">АМК №3-3, с.Новопокровка, ул.Украинская 64а </t>
  </si>
  <si>
    <t>Котельная № 1-42 (с. Графское)</t>
  </si>
  <si>
    <t>Котельная № 1-43 (г. Дальнереченск - привокзальная)</t>
  </si>
  <si>
    <t>Котельная № 1-45, ул. Краснофлотская, 18д</t>
  </si>
  <si>
    <t xml:space="preserve">Котельная № 3 - 5, с. Вострецово </t>
  </si>
  <si>
    <t>Котельная № 3-12 с. Глубинное</t>
  </si>
  <si>
    <t xml:space="preserve">Котельная № 3-6, с. Вострецово </t>
  </si>
  <si>
    <t xml:space="preserve">Котельная № 3-7, с. Измайлиха </t>
  </si>
  <si>
    <t>Котельная № 3-8, с. Мельничное</t>
  </si>
  <si>
    <t xml:space="preserve">Котельная № 3-9, с. Мельничное </t>
  </si>
  <si>
    <t>Котельная №1-1, г.Дальнереченск, ул.Свободы 41</t>
  </si>
  <si>
    <t>Котельная №1-18</t>
  </si>
  <si>
    <t>Котельная №1-2, г.Дальнереченск, ул.Флегонтова 25а</t>
  </si>
  <si>
    <t>Котельная №1-22, г.Дальнереченск, с. Грушевое, ул. Лазо 36</t>
  </si>
  <si>
    <t>Котельная №1-27</t>
  </si>
  <si>
    <t>Котельная №1-30 с.Сальское</t>
  </si>
  <si>
    <t>Котельная №1-31, г.Дальнереченск, ул.Уссурийская 84</t>
  </si>
  <si>
    <t>Котельная №1-46, г.Дальнереченск, ул. Ленина, 61</t>
  </si>
  <si>
    <t>Котельная №1-5</t>
  </si>
  <si>
    <t>Котельная №2-1, с.Сальское, ул.Советская,13</t>
  </si>
  <si>
    <t>Котельная №2-10, с.Ракитное (д/с), ул.Советская 22а</t>
  </si>
  <si>
    <t>Котельная №2-12, с.Боголюбовка (школа), ул.Озерная 9а</t>
  </si>
  <si>
    <t>Котельная №2-19, с.Веденка, ул. М. Веденка, 8</t>
  </si>
  <si>
    <t>Котельная №2-4, с.Рождественка (школа)</t>
  </si>
  <si>
    <t>Котельная №2-7, с.Соловьевка (школа)</t>
  </si>
  <si>
    <t>Котельная №2-9, с.Ракитное (школа)</t>
  </si>
  <si>
    <t>Котельная №3-1, с.Новопокровка, ул.Набережная 68а</t>
  </si>
  <si>
    <t xml:space="preserve">Котельная №3-2, с.Новопокровка, ул.Строительная 30в </t>
  </si>
  <si>
    <t xml:space="preserve">Котельная №3-4, с.Рощино, ул.Рощина 47 </t>
  </si>
  <si>
    <t>АМК №15 г.Лесозаводск, ул.Кравчука, 1А</t>
  </si>
  <si>
    <t>АМК №20 с.Невское, ул.Спортивная, 3</t>
  </si>
  <si>
    <t>АМК №21 с.Пантелеймоновка, ул.Школьная, 39</t>
  </si>
  <si>
    <t>АМК №23 с.Ружино, ул.Советская, 43</t>
  </si>
  <si>
    <t>АМК №27 с.Марково, ул.Волкова, 10</t>
  </si>
  <si>
    <t>АМК №28 с.Марково, ул.Волкова, 35</t>
  </si>
  <si>
    <t>АМК №3 г.Лесозаводск, ул.Дзержинского,18</t>
  </si>
  <si>
    <t>АМК №31 с.Иннокентьевка, ул.Школьная, 1</t>
  </si>
  <si>
    <t>АМК №41 г.Лесозаводск, ул. Паровозная,1</t>
  </si>
  <si>
    <t>АМК №42 г.Лесозаводск, ул. Им.12-ти, 9</t>
  </si>
  <si>
    <t>АМК №43 г.Лесозаводск, ул. Путейская</t>
  </si>
  <si>
    <t>АМК №44 г.Лесозаводск, ул.Григоренко, 24</t>
  </si>
  <si>
    <t>Котельная №1.г.Лесозаводск, ул.Пушкинская, 29б</t>
  </si>
  <si>
    <t>Котельная №10 г.Лесозаводск, ул.Сибирцева, 76а</t>
  </si>
  <si>
    <t>Котельная №102 с.Пантелеймоновка</t>
  </si>
  <si>
    <t>Котельная №11 г.Лесозаводск, ул.Ленинская, 44</t>
  </si>
  <si>
    <t>Котельная №18, г.Лесозаводск, ул.Тепличная</t>
  </si>
  <si>
    <t>Котельная №19 г.Лесозаводск, ул.Пионерская, 4</t>
  </si>
  <si>
    <t>Котельная №36 тр Лсз</t>
  </si>
  <si>
    <t>АМК №33 с.Пожарское, ул.Ленинская, 37а</t>
  </si>
  <si>
    <t>АМК №35 с.Игнатьевка, ул.Советская, 14</t>
  </si>
  <si>
    <t>АМК №40, с. Красный Яр, ул. Арсеньева, 7А</t>
  </si>
  <si>
    <t>Котельная №34 с.Светлогорье, ул. Хомякова, 4</t>
  </si>
  <si>
    <t>Котельная №35 с.Игнатьевка, ул.Советская, 14</t>
  </si>
  <si>
    <t>Котельная №39 с.Новостройка, ул. Заводская, 17, корп.4</t>
  </si>
  <si>
    <t>АМК № 1/06, с. Михайловка, ул. Вокзальная, 25</t>
  </si>
  <si>
    <t>АМК № 1/19, с. Ивановка, ул.Колхозная</t>
  </si>
  <si>
    <t>АМК № 1/21, с. Ивановка, ул.Кировская, 36</t>
  </si>
  <si>
    <t xml:space="preserve">АМК № 1/22, с. Снегуровка </t>
  </si>
  <si>
    <t>АМК № 1/26, с. Кремово, ул.Колхозная, 256</t>
  </si>
  <si>
    <t>АМК № 1/27, с. Ширяевка, ул.Октябрьская</t>
  </si>
  <si>
    <t>АМК № 1/35, с.Григорьевка, ул.Калинина</t>
  </si>
  <si>
    <t>АМК № 1/7, с. Васильевка,ул. Гарнизонная 29</t>
  </si>
  <si>
    <t>АМК №1/28, с. Кремово, ул.Городская, 181</t>
  </si>
  <si>
    <t>Котельная № 1/01, с. Михайловка, ул. Новая,30</t>
  </si>
  <si>
    <t>Котельная № 1/02, с. Михайловка, квартал 2, д. 1</t>
  </si>
  <si>
    <t>Котельная № 1/04, с. Михайловка, квартал 2, д. 13</t>
  </si>
  <si>
    <t>Котельная № 1/05, с. Михайловка, гарнизон</t>
  </si>
  <si>
    <t>Котельная № 1/06, с. Михайловка, ул. Вокзальная, 25</t>
  </si>
  <si>
    <t>Котельная № 1/09, с. Первомайское, ул. Дубковская, 36</t>
  </si>
  <si>
    <t xml:space="preserve">Котельная № 1/18, с. Ивановка, ул.Зареченская, </t>
  </si>
  <si>
    <t>Котельная № 1/25, с. Осиновка, ул.Рабочая, 2к</t>
  </si>
  <si>
    <t>Котельная № 1/29, с. Горное, ул.Лесная, 6</t>
  </si>
  <si>
    <t>Котельная № 1/30, с. Ляличи, ул.Школьная, 141</t>
  </si>
  <si>
    <t>Котельная № 1/31, п. Новошахтинский, ул.Производственная, 1-а</t>
  </si>
  <si>
    <t>Котельная № 1/33, с. Абрамовка, ул.Пионерская,</t>
  </si>
  <si>
    <t>АМК № 2/05, с. Покровка, ул. Красноармейская, (ЦРБ)</t>
  </si>
  <si>
    <t>АМК № 2/08, с. Покровка, ул. Карла Маркса,72</t>
  </si>
  <si>
    <t>АМК № 2/11, с. Фадеевка, ул. Кирова, 34</t>
  </si>
  <si>
    <t>АМК № 2/12, с. Фадеевка, ул. Школьная, 8</t>
  </si>
  <si>
    <t>АМК № 2/13, с. Заречное, ул. Космонавтов, 2 б</t>
  </si>
  <si>
    <t>АМК № 2/14, с. Дзержинское, ул. Первомайская, 5</t>
  </si>
  <si>
    <t>АМК № 2/15, с. Струговка, ул. Школьная, 15 б</t>
  </si>
  <si>
    <t>АМК № 2/23, с. Покровка, ул. Мелиораторов, 13</t>
  </si>
  <si>
    <t>АМК № 2/24, с. Покровка, ул. Красноармейская, 34</t>
  </si>
  <si>
    <t>АМК № 2/25, п. Липовцы, ул. Шахты, 6</t>
  </si>
  <si>
    <t>Котельная 2/19 с. Покровка, ул. Пионерская, 46</t>
  </si>
  <si>
    <t>Котельная № 2/01, с. Покровка, ул. Октябрьская, 3 б</t>
  </si>
  <si>
    <t>Котельная № 2/02, с. Покровка, ул. Октябрьская, 22 б</t>
  </si>
  <si>
    <t>Котельная № 2/03, с. Покровка, Рабочий переулок, 4 б</t>
  </si>
  <si>
    <t>Котельная № 2/06, с. Покровка, ул. Карла Маркса,13,</t>
  </si>
  <si>
    <t>Котельная № 2/07, с. Покровка, ул. Калинина,1а</t>
  </si>
  <si>
    <t>Котельная № 2/09, с. Полтавка, ул. Ленина, 39</t>
  </si>
  <si>
    <t>Котельная № 2/10, с. Галенки, ул. Советская,116 а</t>
  </si>
  <si>
    <t>Котельная № 2/16, с. Чернятино, ул. Зеленая, 7</t>
  </si>
  <si>
    <t>Котельная № 2/17, с. Новогеоргиевка, ул. Лазо, 168</t>
  </si>
  <si>
    <t>Котельная № 2/18, с. Новогеоргиевка, ул. Краснодарская, 32</t>
  </si>
  <si>
    <t>Котельная № 2/20, п. Липовцы, ул. Комсомольская, 4</t>
  </si>
  <si>
    <t>Котельная № 2/21, с. Галенки, ул Комарова, 157</t>
  </si>
  <si>
    <t>Котельная № 2/22, с. Покровка, ул. Красноармейская, 2а/8</t>
  </si>
  <si>
    <t>Котельная № 2/24, с. Покровка, ул. Красноармейская, 34</t>
  </si>
  <si>
    <t>Котельная № 2/26, п. Липовцы, ул. Ленина, 2</t>
  </si>
  <si>
    <t>Котельная № 2/30, п. Липовцы, ул. Зеленая</t>
  </si>
  <si>
    <t>АМК № 3/08, п. Пограничный, ул. Ленина, 10</t>
  </si>
  <si>
    <t>АМК № 3/09, п. Пограничный, ул. Лазо, 101</t>
  </si>
  <si>
    <t>АМК № 3/11, с.Барано-Оренбургское, ул. Тургенева, 16Б</t>
  </si>
  <si>
    <t>АМК № 3/12, с.Барано-Оренбургское, гарнизон (СШ)</t>
  </si>
  <si>
    <t>АМК № 3/13, с.Барано-Оренбургское, ул. Чапаева, 29</t>
  </si>
  <si>
    <t>АМК № 3/14, с.Барано-Оренбургское, ул. Победы, 26 (СДК)</t>
  </si>
  <si>
    <t>АМК № 3/15, с.Бойкое, ул. Школьная, 1</t>
  </si>
  <si>
    <t>АМК № 3/17, с. Барабаш-Левада, ул. Юбилейная, 31</t>
  </si>
  <si>
    <t>АМК № 3/19, с. Богуславка, ул. Школьная, 18</t>
  </si>
  <si>
    <t>АМК №3/51(7) п. Пограничный, ул. Буденовец</t>
  </si>
  <si>
    <t>Котельная № 3/01, п. Пограничный, ул. Гагарина,26</t>
  </si>
  <si>
    <t>Котельная № 3/02, п. Пограничный, ул. Советская, 66</t>
  </si>
  <si>
    <t>Котельная № 3/03, п. Пограничный, ул. Дубовика, 24</t>
  </si>
  <si>
    <t>Котельная № 3/10 с. Барано-Оренбургское</t>
  </si>
  <si>
    <t>Котельная № 3/20, с. Жариково, ул. Кооперативная, 24</t>
  </si>
  <si>
    <t>Котельная № 3/22, с. Нестеровка, ул. Советская, 7</t>
  </si>
  <si>
    <t>Котельная № 3/23, с. Сергеевка, ул. Школьная, 1</t>
  </si>
  <si>
    <t>Котельная № 3/5, п. Пограничный</t>
  </si>
  <si>
    <t>Тепловой район "Ханкайский"</t>
  </si>
  <si>
    <t>АМК №5/11, с. Владимиро-Петровка, ул.Лазо, 5-В</t>
  </si>
  <si>
    <t>АМК №5/12, с. Мельгуновка, ул.Ленинская, 9</t>
  </si>
  <si>
    <t>АМК №5/13 с. Троицкое, ул. Школьная, 11</t>
  </si>
  <si>
    <t>АМК №5/14, с. Камень-Рыболов, ул.Железнодорожная, 23-Б</t>
  </si>
  <si>
    <t>АМК №5/7, с. Комиссарово, ул.Советская, 16-А</t>
  </si>
  <si>
    <t>АМК №5/9, с.Ильинка, ул. Столетия,3-А</t>
  </si>
  <si>
    <t>Котельная №5/10, с. Новоселище, ул.Школьная, 24 А</t>
  </si>
  <si>
    <t>Котельная №5/2, с. Камень-Рыболов (военная кот. №275)</t>
  </si>
  <si>
    <t>Котельная №5/3, с. Камень-Рыболов, ул.Мира, 85-А</t>
  </si>
  <si>
    <t>Котельная №5/4, с. Камень-Рыболов, ул.Беговая, 33-А</t>
  </si>
  <si>
    <t>Котельная №5/5, с. Камень-Рыболов, ул.Трактовая, 32-Б</t>
  </si>
  <si>
    <t>Котельная №5/6, с. Астраханка ул.Решетникова, 111-А</t>
  </si>
  <si>
    <t>Котельная №5/8, с. Камень-Рыболов, ул.Некрасова, 1В</t>
  </si>
  <si>
    <t>Тепловой район "Хорольский"</t>
  </si>
  <si>
    <t>АМК № 4/11, с.Хороль, ул.Октябрьская, 42</t>
  </si>
  <si>
    <t>АМК № 4/12, с.Хороль, ул.Луговая, 64</t>
  </si>
  <si>
    <t>АМК № 4/14, с.Н.-Девица, ул.Сибирцева, 33</t>
  </si>
  <si>
    <t>АМК № 4/15, с.Сиваковка, ул.Центральная, 25</t>
  </si>
  <si>
    <t>АМК № 4/16, с.Поповка, ул.Леонова, 1</t>
  </si>
  <si>
    <t>АМК № 4/19, п.Ярославский, ул.Некрасова, 25Б</t>
  </si>
  <si>
    <t>АМК № 4/21, с.Лучки, ул.Комсомольская, 25</t>
  </si>
  <si>
    <t>АМК № 4/23, с.Благодатное, ул.Октябрьская, 51</t>
  </si>
  <si>
    <t>АМК № 4/24, с.Прилуки, ул.Новая, 23</t>
  </si>
  <si>
    <t>Котельная № 4/1,с.Хороль, ул.Октябрьская,14а</t>
  </si>
  <si>
    <t>Котельная № 4/10, с.Хороль, ул.Солнечная, 12</t>
  </si>
  <si>
    <t>Котельная № 4/20, с.Вознесенское, ул.Крупская, 19а</t>
  </si>
  <si>
    <t>Котельная № 4/4 (котельная РОУЗ), п.Ярославский, ул.Лазо</t>
  </si>
  <si>
    <t>Котельная № 4/5, с.Хороль, микрорайон "Городок-5"</t>
  </si>
  <si>
    <t>Котельная № 4/6, с.Хороль, ул.Луговая,7б</t>
  </si>
  <si>
    <t>АМК 1/7 г.Находка, ул.Вознесенская</t>
  </si>
  <si>
    <t>АМК 4/12  г.Находка, 65 м на восток от ул.Угольная, 43</t>
  </si>
  <si>
    <t>АМК 4/14 г.Находка, ул.Береговая, 23</t>
  </si>
  <si>
    <t>АМК 4/16  г.Находка, 65 м на с-в от ул.Перевальная, 106</t>
  </si>
  <si>
    <t>АМК 5/3 п.Врангель, ул.Набережная,85</t>
  </si>
  <si>
    <t>АМК №4/7 г. Находка, в 45м на юго-восток от ул. Шоссейная, 6</t>
  </si>
  <si>
    <t>АМК №6/5 г. Находка, п. Анна, в 15м на восток от ул. Набережная, 15</t>
  </si>
  <si>
    <t>АМК-Терморобот №4/4 г.Находка ул. Садовая 1</t>
  </si>
  <si>
    <t>Котельная 1/1 г.Находка,ул.Пирогова, 19</t>
  </si>
  <si>
    <t>Котельная 1/3   г.Находка, ул.Судоремонтная, 5</t>
  </si>
  <si>
    <t>Котельная 1/4   г.Находка, ул.Тимирязева, 26А</t>
  </si>
  <si>
    <t>Котельная 1/5   г.Находка, ул.Макарова, 85</t>
  </si>
  <si>
    <t>Котельная 2/1   г.Находка, ул.Кольцевая, 2</t>
  </si>
  <si>
    <t>Котельная 2/2   г.Находка, ул.Седова, 2а</t>
  </si>
  <si>
    <t>Котельная 2/3   г.Находка, ул.Владивостокская, 34</t>
  </si>
  <si>
    <t>Котельная 2/8   г.Находка, ул.Портовая, 226</t>
  </si>
  <si>
    <t>Котельная 3/1   г.Находка, ул.Пограничная, 54а</t>
  </si>
  <si>
    <t>Котельная 3/2   г.Находка, ул.Пограничная, 100</t>
  </si>
  <si>
    <t>Котельная 3/3   г.Находка, ул.Школьная, 24</t>
  </si>
  <si>
    <t>Котельная 3/6   г.Находка, ул.Постышева, 20а</t>
  </si>
  <si>
    <t>Котельная 4/1   г.Находка, ул.Сидоренко, 11</t>
  </si>
  <si>
    <t>Котельная 4/10  г.Находка, ул.Шевченко, 1а</t>
  </si>
  <si>
    <t>Котельная 4/13  г.Находка, ул.Малиновского, 30а</t>
  </si>
  <si>
    <t>Котельная 4/15  г.Находка, радиостанция "Морснаб"</t>
  </si>
  <si>
    <t>Котельная 4/17  г.Находка, ул. Станционная, 1 ("Приморский транзит")</t>
  </si>
  <si>
    <t>Котельная 4/18  г.Находка, ул.Михайловская, 103</t>
  </si>
  <si>
    <t>Котельная 4/20  г.Находка, ул.Надежды, 1</t>
  </si>
  <si>
    <t>Котельная 4/8   г.Находка, ул. 2-я Промышленная, 14</t>
  </si>
  <si>
    <t>Котельная 5/1   п.Врангель, ул.Первостроителей, 2б</t>
  </si>
  <si>
    <t>Котельная 5/2   п.Врангель, ул.Васяновича, 11</t>
  </si>
  <si>
    <t>Котельная 5/4   п.Врангель, ул.Железнодорожников, 4</t>
  </si>
  <si>
    <t>Котельная 6/1   п.Южно-Морской, ул.Центральная, 9ж ("Южморрыбфлот")</t>
  </si>
  <si>
    <t>Котельная 6/2   п.Южно-Морской, ул.Набережная, 42</t>
  </si>
  <si>
    <t>Котельная 6/6   с.Душкино, ул.Ускова, 1б</t>
  </si>
  <si>
    <t xml:space="preserve">АМК № 3/22 (с. В.- Александровское, ул. Партизанская, 15 А) </t>
  </si>
  <si>
    <t xml:space="preserve">АМК № 3/23 (с. В.- Александровское, ул. Кости Рослого, 71 А) </t>
  </si>
  <si>
    <t>АМК № 3/3 (с. В.- Александровское, ЦРБ, ул. Садовая, 1Б )</t>
  </si>
  <si>
    <t xml:space="preserve">АМК № 3/4 (с. В.- Александровское, ул. Мелиораторов, 24 А) </t>
  </si>
  <si>
    <t xml:space="preserve">АМК № 4/14 (с. Екатериновка, ул. Советская, 3А) </t>
  </si>
  <si>
    <t xml:space="preserve">АМК № 4/14.1 ГВС (с. Екатериновка, ул. Советская, 3А) </t>
  </si>
  <si>
    <t xml:space="preserve">АМК № 4/15 (с. Екатериновка, ул. Молодёжная, 14) </t>
  </si>
  <si>
    <t xml:space="preserve">Котельная № 3/1 (с. В.- Александровское, ул. Партизанская, 15) </t>
  </si>
  <si>
    <t xml:space="preserve">Котельная № 3/10 (с. Фроловка, ул. Кооперативная, 1А) </t>
  </si>
  <si>
    <t xml:space="preserve">Котельная № 3/11 (с. Сергеевка, ул. Толстого, 1А) </t>
  </si>
  <si>
    <t xml:space="preserve">Котельная № 3/12 (с. Сергеевка, ул. Лазо, 33Б) </t>
  </si>
  <si>
    <t xml:space="preserve">Котельная № 3/13 (с. Сергеевка, ул. 2-я Рабочая, 19А) </t>
  </si>
  <si>
    <t>Котельная № 3/2 (с.В.- Александровское, ул. Комсомольская, 99)</t>
  </si>
  <si>
    <t xml:space="preserve">Котельная № 3/3 (с. В.- Александровское, ЦРБ, ул. Садовая, 1Б ) </t>
  </si>
  <si>
    <t xml:space="preserve">Котельная № 3/4 (с. В.- Александровское, ул. Мелиораторов, 24) </t>
  </si>
  <si>
    <t xml:space="preserve">Котельная № 3/5 (с. Хмыловка, ул. 40 лет Победы, 1А) </t>
  </si>
  <si>
    <t xml:space="preserve">Котельная № 3/6 (с. Золотая Долина, ул. Спортивная) </t>
  </si>
  <si>
    <t xml:space="preserve">Котельная № 3/7 (с. Золотая Долина, ул. Летная) </t>
  </si>
  <si>
    <t xml:space="preserve">Котельная № 3/8 (с. Перетино, ул. Черняховского, 25) </t>
  </si>
  <si>
    <t>Котельная № 3/9 (с. Новицкое, ул. Стрельникова, 1А)</t>
  </si>
  <si>
    <t>Котельная № 4/14 (с. Екатериновка, ул. Ватутина, 30)</t>
  </si>
  <si>
    <t xml:space="preserve">Котельная № 4/15 (с. Екатериновка, ул. Молодёжная, 14) </t>
  </si>
  <si>
    <t xml:space="preserve">Котельная № 4/16 (с. Екатериновка, ул. Партизанская, 25А) </t>
  </si>
  <si>
    <t xml:space="preserve">Котельная № 4/17 (п. Б-Кузнецова, ул. Нагорная, 2А) </t>
  </si>
  <si>
    <t xml:space="preserve">Котельная № 4/18 (с.Новая Сила, ул. Комарова, 1а) </t>
  </si>
  <si>
    <t xml:space="preserve">Котельная № 4/19 (п. Волчанец, ул. Шоссейная, 72А) </t>
  </si>
  <si>
    <t xml:space="preserve">Котельная № 4/20 (п. Волчанец, ул. Набережная, 1В) </t>
  </si>
  <si>
    <t xml:space="preserve">Котельная № 4/21 (п. Волчанец, ул. Комсомольская, 1В) </t>
  </si>
  <si>
    <t>АМК № 6/8 с. Лазо, ул. Советская, 69А (ЦРБ)</t>
  </si>
  <si>
    <t>КОТЕЛЬНАЯ 5/1 (ЦПК)</t>
  </si>
  <si>
    <t>КОТЕЛЬНАЯ 5/2 (ЮВР)</t>
  </si>
  <si>
    <t>КОТЕЛЬНАЯ 5/3 (БОЛЬНИЧНЫЙ КОМПЛЕКС)</t>
  </si>
  <si>
    <t>КОТЕЛЬНАЯ 5/4 ("МОЛОДЕЖНАЯ")</t>
  </si>
  <si>
    <t>КОТЕЛЬНАЯ 5/5 ("ЗАРЕЧНАЯ")</t>
  </si>
  <si>
    <t>КОТЕЛЬНАЯ 6/14 (в/ч Киевка)</t>
  </si>
  <si>
    <t>КОТЕЛЬНАЯ 6/15 (С.ВАЛЕНТИН)</t>
  </si>
  <si>
    <t>КОТЕЛЬНАЯ 6/16 (С.ВАЛЕНТИН)</t>
  </si>
  <si>
    <t>КОТЕЛЬНАЯ 6/17 (С.ГЛАЗОВКА)</t>
  </si>
  <si>
    <t>КОТЕЛЬНАЯ 6/19 (С.БЕНЕВСКОЕ)</t>
  </si>
  <si>
    <t>КОТЕЛЬНАЯ 6/24 (С.КИЕВКА)</t>
  </si>
  <si>
    <t>КОТЕЛЬНАЯ 6/9 (ЗАПОВЕДНИК)</t>
  </si>
  <si>
    <t>КОТЕЛЬНЫЕ 6/18 (С.СОКОЛЬЧИ)</t>
  </si>
  <si>
    <t>КОТЕЛЬНЫЕ 6/20 (ШКОЛА ЧЕРН.)</t>
  </si>
  <si>
    <t>КОТЕЛЬНЫЕ 6/7 (ЦЕНТРАЛЬНАЯ)</t>
  </si>
  <si>
    <t>АМК №1/31 (ул.1-я Красноармейская, д.64-с)</t>
  </si>
  <si>
    <t>АМК №1/32, г. Партизанск, ориентир ул. П. Кашина, 6</t>
  </si>
  <si>
    <t>АМК №1/33 (ул. Московская, 1)</t>
  </si>
  <si>
    <t>КОТЕЛЬНАЯ 1/13 (УЛ.ПАРТИЗАНСКАЯ 157)</t>
  </si>
  <si>
    <t>КОТЕЛЬНАЯ 1/39 (УЛ.ПУШКИНСКАЯ)</t>
  </si>
  <si>
    <t>КОТЕЛЬНАЯ 1/41 (УЛ.КОМСОМОЛЬСКАЯ)</t>
  </si>
  <si>
    <t>КОТЕЛЬНАЯ 1/44 (УЛ.МИРОШНИЧЕНКО)</t>
  </si>
  <si>
    <t>КОТЕЛЬНАЯ 1/9 (УЛ.ОБОГАТИТЕЛЬНАЯ 17)</t>
  </si>
  <si>
    <t>КОТЕЛЬНАЯ 2/10 (УЛ.ЛЕНИНСКАЯ 54)</t>
  </si>
  <si>
    <t>КОТЕЛЬНАЯ 2/28 (ПОС.АВАНГАРД)</t>
  </si>
  <si>
    <t>КОТЕЛЬНАЯ 2/3 (УЛ.ПАРТИЗАНСКАЯ)</t>
  </si>
  <si>
    <t>Котельная №2/15 ( пос. Углекаменск)</t>
  </si>
  <si>
    <t xml:space="preserve">Котельная №10 с.Черниговка, ул.Крупозавод, 3 </t>
  </si>
  <si>
    <t xml:space="preserve">Котельная №11 с.Черниговка, ул.Буденного, 69-а </t>
  </si>
  <si>
    <t xml:space="preserve">Котельная №12 с.Черниговка, ул.Заводская, 31 </t>
  </si>
  <si>
    <t xml:space="preserve">Котельная №14, с. Реттиховка ул. Заречная, 5 </t>
  </si>
  <si>
    <t xml:space="preserve">Котельная №15 с.Дмитриевка ул.Мира 7а </t>
  </si>
  <si>
    <t xml:space="preserve">Котельная №16 с.Дмитриевка ул.Мира 25а </t>
  </si>
  <si>
    <t xml:space="preserve">Котельная №17 с.Черниговка, ул.Пушкинская, 99-б </t>
  </si>
  <si>
    <t xml:space="preserve">Котельная №18, пгт. Сибирцево, ул. Вокзальная, д.19 </t>
  </si>
  <si>
    <t xml:space="preserve">Котельная №2 с.Черниговка, ул.Ленинская, 50 </t>
  </si>
  <si>
    <t xml:space="preserve">Котельная №20, пгт. Сибирцево, ул. Комсомольская, 5 </t>
  </si>
  <si>
    <t xml:space="preserve">Котельная №21, пгт. Сибирцево, ул. Путейская, 13а </t>
  </si>
  <si>
    <t xml:space="preserve">Котельная №22, с. Монастырище, ул. Лазо, 24а </t>
  </si>
  <si>
    <t xml:space="preserve">Котельная №23 с.Черниговка, ул.Партизанская, 195-б </t>
  </si>
  <si>
    <t xml:space="preserve">Котельная №3 с.Черниговка, ул.Советская, 69-а </t>
  </si>
  <si>
    <t xml:space="preserve">Котельная №4 с.Черниговка, ул.Юных Пионеров, 9-в </t>
  </si>
  <si>
    <t xml:space="preserve">Котельная №5 с.Черниговка, ул.Юных Пионеров, 37 </t>
  </si>
  <si>
    <t>Котельная №6 с.Черниговка, ул.Ленинская, 93</t>
  </si>
  <si>
    <t xml:space="preserve">Котельная №7 с.Черниговка, ул.Лазо, 22-а </t>
  </si>
  <si>
    <t xml:space="preserve">Котельная №8 с.Черниговка, ул.Партизанская, 108-в </t>
  </si>
  <si>
    <t xml:space="preserve">Котельная ПНИ с. Майское ул. 60 лет Октября,9 </t>
  </si>
  <si>
    <t xml:space="preserve">Котельная с.Меркушевка ул.Ленинская, 42 </t>
  </si>
  <si>
    <t>Котельная с.Синий Гай ул.Советская 7а</t>
  </si>
  <si>
    <t>Котельная № 1 Спасск-Д.  ул. Парковая, 5</t>
  </si>
  <si>
    <t>Котельная № 2 с. Спасское пер. Больничный, 2</t>
  </si>
  <si>
    <t>Котельная № 3,  ул. Пограничная, 1</t>
  </si>
  <si>
    <t>Котельная № 4, ул. Силикатная, 1</t>
  </si>
  <si>
    <t>Котельная № 5 ул. Красногвардейская, 130</t>
  </si>
  <si>
    <t>Котельная № 7 ул. Советская 3</t>
  </si>
  <si>
    <t>Котельная № 9 ул. Горького, 25/1</t>
  </si>
  <si>
    <t>Котельная №8, ул.Цементная,2</t>
  </si>
  <si>
    <t>АМК № 21 с.Красный Кут ул. Мира, 17а</t>
  </si>
  <si>
    <t>АМК № 22 с.Красный Кут ул. Зеленая, 41А</t>
  </si>
  <si>
    <t>АМК № 35 с.Чкаловкое, ул. Ленина, 90</t>
  </si>
  <si>
    <t>АМК № 37 (с.Александровка, ул.Уборевича, 63Б)</t>
  </si>
  <si>
    <t>АМК № 47 ст. Старый Ключ, ул. Раздольная, 2</t>
  </si>
  <si>
    <t>АМК № 6, г.Спасск-Дальний, ул. Ангарская, 11/1</t>
  </si>
  <si>
    <t>АМК № 7 с.Степное, ул.Центральная, 6А</t>
  </si>
  <si>
    <t>Газовая котельная № 42-Г с. Лётно-Хвалынское</t>
  </si>
  <si>
    <t>Котельная 5 с.Новосельское ул.Центральная, 9а</t>
  </si>
  <si>
    <t>Котельная № 11 (с.Славинка, ул.Преображенская)</t>
  </si>
  <si>
    <t>Котельная № 14 (с.Хвалынка ул.Советская)</t>
  </si>
  <si>
    <t>Котельная № 15 (с.Буссевка ул.Светлая , 22а)</t>
  </si>
  <si>
    <t>Котельная № 2 (г.Спасск-Дальний, ул. Гражданская 10)</t>
  </si>
  <si>
    <t>Котельная № 20 (с.Вишневка пер. Школьный)</t>
  </si>
  <si>
    <t>Котельная № 23 (с.Дубовское, ул.Молодежная, 35а)</t>
  </si>
  <si>
    <t>Котельная № 25 (с.Прохоры, пер.Школьный 1)</t>
  </si>
  <si>
    <t>Котельная № 28 (с.Духовское (ул. Советская, 28)</t>
  </si>
  <si>
    <t>Котельная № 3 - а (ул.Приморская14)</t>
  </si>
  <si>
    <t>Котельная № 30 (с.Новоруссановка, ул.Школьная,2)</t>
  </si>
  <si>
    <t>Котельная № 31 (с.Кронштадка, ул.Борисова, 6а)</t>
  </si>
  <si>
    <t>Котельная № 32 (с.Свиягино, ул.Партизанская,22)</t>
  </si>
  <si>
    <t>Котельная № 35 (с.Чкаловкое ул, Первомайская)</t>
  </si>
  <si>
    <t>Котельная № 36 (с.Зеленодольское ул, Мелиораторов)</t>
  </si>
  <si>
    <t>Котельная № 38 (с.Александровка (ул, Советская, 72)</t>
  </si>
  <si>
    <t>Котельная № 4 (с.Гайворон, ул.Ленинская, 37)</t>
  </si>
  <si>
    <t>Котельная № 42  (с.Лётно- Хвалынское, ул. Первомайская)</t>
  </si>
  <si>
    <t>Котельная № 43 база, ул. Приморская, 18, корп. 3</t>
  </si>
  <si>
    <t>Котельная № 46 п. Красный Кут</t>
  </si>
  <si>
    <t>Котельная №44 (г.Спасск-Дальний,,ул.Заводская,17/4)</t>
  </si>
  <si>
    <t>Котельная №45 (г.Спасск-Дальний,ул.Красногвардейская,128, корпус 4)</t>
  </si>
  <si>
    <t>Котельная ПУ-59 в с.Чкаловское</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</si>
  <si>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</si>
  <si>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</si>
  <si>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</si>
  <si>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</si>
  <si>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</si>
  <si>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</si>
  <si>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</si>
  <si>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</si>
  <si>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</si>
  <si>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</si>
  <si>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</si>
  <si>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</si>
  <si>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</si>
  <si>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</si>
  <si>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</si>
  <si>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</si>
  <si>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</si>
  <si>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</si>
  <si>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</si>
  <si>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</si>
  <si>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</si>
  <si>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</si>
  <si>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</si>
  <si>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</si>
  <si>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</si>
  <si>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</si>
  <si>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</si>
  <si>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</si>
  <si>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</si>
  <si>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</si>
  <si>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</si>
  <si>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</si>
  <si>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</si>
  <si>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</si>
  <si>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</si>
  <si>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</si>
  <si>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</si>
  <si>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</si>
  <si>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</si>
  <si>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</si>
  <si>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</si>
  <si>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</si>
  <si>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</si>
  <si>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</si>
  <si>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</si>
  <si>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</si>
  <si>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</si>
  <si>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</si>
  <si>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</si>
  <si>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</si>
  <si>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</si>
  <si>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</si>
  <si>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</si>
  <si>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</si>
  <si>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</si>
  <si>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</si>
  <si>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</si>
  <si>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</si>
  <si>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</si>
  <si>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</si>
  <si>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</si>
  <si>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</si>
  <si>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</si>
  <si>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</si>
  <si>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</si>
  <si>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</si>
  <si>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</si>
  <si>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</si>
  <si>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</si>
  <si>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</si>
  <si>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</si>
  <si>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</si>
  <si>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</si>
  <si>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</si>
  <si>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</si>
  <si>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</si>
  <si>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</si>
  <si>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</si>
  <si>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</si>
  <si>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</si>
  <si>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</si>
  <si>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</si>
  <si>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</si>
  <si>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</si>
  <si>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</si>
  <si>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</si>
  <si>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</si>
  <si>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</si>
  <si>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</si>
  <si>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</si>
  <si>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</si>
  <si>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</si>
  <si>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</si>
  <si>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</si>
  <si>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</si>
  <si>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</si>
  <si>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</si>
  <si>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</si>
  <si>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</si>
  <si>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</si>
  <si>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</si>
  <si>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</si>
  <si>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</si>
  <si>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</si>
  <si>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</si>
  <si>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</si>
  <si>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</si>
  <si>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</si>
  <si>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</si>
  <si>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</si>
  <si>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</si>
  <si>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</si>
  <si>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</si>
  <si>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</si>
  <si>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</si>
  <si>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</si>
  <si>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</si>
  <si>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</si>
  <si>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</si>
  <si>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</si>
  <si>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</si>
  <si>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</si>
  <si>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</si>
  <si>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</si>
  <si>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</si>
  <si>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</si>
  <si>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</si>
  <si>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</si>
  <si>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</si>
  <si>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</si>
  <si>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</si>
  <si>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</si>
  <si>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</si>
  <si>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</si>
  <si>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</si>
  <si>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</si>
  <si>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</si>
  <si>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</si>
  <si>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</si>
  <si>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</si>
  <si>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</si>
  <si>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</si>
  <si>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</si>
  <si>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</si>
  <si>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</si>
  <si>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</si>
  <si>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</si>
  <si>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</si>
  <si>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</si>
  <si>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</si>
  <si>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</si>
  <si>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</si>
  <si>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</si>
  <si>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</si>
  <si>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</si>
  <si>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</si>
  <si>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</si>
  <si>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</si>
  <si>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</si>
  <si>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</si>
  <si>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</si>
  <si>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</si>
  <si>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</si>
  <si>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</si>
  <si>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</si>
  <si>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</si>
  <si>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</si>
  <si>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</si>
  <si>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</si>
  <si>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</si>
  <si>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</si>
  <si>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</si>
  <si>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</si>
  <si>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</si>
  <si>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</si>
  <si>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</si>
  <si>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</si>
  <si>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</si>
  <si>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</si>
  <si>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</si>
  <si>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</si>
  <si>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</si>
  <si>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</si>
  <si>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</si>
  <si>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</si>
  <si>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</si>
  <si>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</si>
  <si>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</si>
  <si>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</si>
  <si>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</si>
  <si>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</si>
  <si>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</si>
  <si>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</si>
  <si>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</si>
  <si>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</si>
  <si>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</si>
  <si>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</si>
  <si>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</si>
  <si>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</si>
  <si>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</si>
  <si>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</si>
  <si>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</si>
  <si>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</si>
  <si>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</si>
  <si>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</si>
  <si>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</si>
  <si>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</si>
  <si>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</si>
  <si>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</si>
  <si>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</si>
  <si>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</si>
  <si>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</si>
  <si>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</si>
  <si>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</si>
  <si>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</si>
  <si>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</si>
  <si>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</si>
  <si>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</si>
  <si>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</si>
  <si>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</si>
  <si>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</si>
  <si>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</si>
  <si>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</si>
  <si>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</si>
  <si>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</si>
  <si>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</si>
  <si>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</si>
  <si>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</si>
  <si>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</si>
  <si>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</si>
  <si>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</si>
  <si>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</si>
  <si>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</si>
  <si>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</si>
  <si>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</si>
  <si>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</si>
  <si>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</si>
  <si>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</si>
  <si>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</si>
  <si>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</si>
  <si>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</si>
  <si>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</si>
  <si>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</si>
  <si>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</si>
  <si>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</si>
  <si>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</si>
  <si>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</si>
  <si>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</si>
  <si>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</si>
  <si>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</si>
  <si>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</si>
  <si>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</si>
  <si>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</si>
  <si>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</si>
  <si>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</si>
  <si>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</si>
  <si>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</si>
  <si>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</si>
  <si>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</si>
  <si>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</si>
  <si>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</si>
  <si>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</si>
  <si>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</si>
  <si>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</si>
  <si>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</si>
  <si>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</si>
  <si>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</si>
  <si>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</si>
  <si>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</si>
  <si>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</si>
  <si>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</si>
  <si>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</si>
  <si>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</si>
  <si>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</si>
  <si>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</si>
  <si>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</si>
  <si>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</si>
  <si>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</si>
  <si>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</si>
  <si>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</si>
  <si>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</si>
  <si>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</si>
  <si>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</si>
  <si>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</si>
  <si>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</si>
  <si>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</si>
  <si>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</si>
  <si>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</si>
  <si>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</si>
  <si>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</si>
  <si>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</si>
  <si>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</si>
  <si>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</si>
  <si>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</si>
  <si>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</si>
  <si>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</si>
  <si>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</si>
  <si>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</si>
  <si>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</si>
  <si>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</si>
  <si>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</si>
  <si>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</si>
  <si>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</si>
  <si>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</si>
  <si>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</si>
  <si>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</si>
  <si>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</si>
  <si>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</si>
  <si>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</si>
  <si>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</si>
  <si>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</si>
  <si>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</si>
  <si>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</si>
  <si>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</si>
  <si>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</si>
  <si>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</si>
  <si>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</si>
  <si>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</si>
  <si>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</si>
  <si>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</si>
  <si>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</si>
  <si>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</si>
  <si>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</si>
  <si>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</si>
  <si>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</si>
  <si>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</si>
  <si>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</si>
  <si>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</si>
  <si>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</si>
  <si>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</si>
  <si>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</si>
  <si>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</si>
  <si>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</si>
  <si>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</si>
  <si>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</si>
  <si>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</si>
  <si>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</si>
  <si>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</si>
  <si>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</si>
  <si>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</si>
  <si>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</si>
  <si>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</si>
  <si>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</si>
  <si>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</si>
  <si>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</si>
  <si>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</si>
  <si>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</si>
  <si>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</si>
  <si>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</si>
  <si>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</si>
  <si>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</si>
  <si>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</si>
  <si>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</si>
  <si>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</si>
  <si>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</si>
  <si>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</si>
  <si>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</si>
  <si>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</si>
  <si>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</si>
  <si>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</si>
  <si>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</si>
  <si>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</si>
  <si>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</si>
  <si>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</si>
  <si>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</si>
  <si>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</si>
  <si>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</si>
  <si>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</si>
  <si>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</si>
  <si>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</si>
  <si>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</si>
  <si>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</si>
  <si>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</si>
  <si>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</si>
  <si>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</si>
  <si>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</si>
  <si>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</si>
  <si>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</si>
  <si>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</si>
  <si>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</si>
  <si>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</si>
  <si>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</si>
  <si>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</si>
  <si>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</si>
  <si>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</si>
  <si>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</si>
  <si>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</si>
  <si>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</si>
  <si>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</si>
  <si>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</si>
  <si>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</si>
  <si>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</si>
  <si>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</si>
  <si>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</si>
  <si>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</si>
  <si>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</si>
  <si>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</si>
  <si>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</si>
  <si>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</si>
  <si>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</si>
  <si>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</si>
  <si>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</si>
  <si>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</si>
  <si>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</si>
  <si>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</si>
  <si>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</si>
  <si>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</si>
  <si>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</si>
  <si>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</si>
  <si>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</si>
  <si>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</si>
  <si>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</si>
  <si>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</si>
  <si>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</si>
  <si>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 xml:space="preserve">На листе: «ИП»; «ИП Детализация» данные не заполнены так как этот отчет заполнялся ранее и отправлялся с электронной подписью в формате: INV.WARM.2024YEAR КГУП Примтеплоэнерго Прим край (в этом отчете заполнены все данные и план по ИП и факт за 2023 год). По инвестиционной программе был заполнен и отправлен в ЕИАС с ЭП отчет: PP110.OPEN.INFO.INVEST.HEAT.EIAS. В рамках данного отчета: PP110.OPEN.INFO.BALANCE.HEAT.EIAS не представляется возможным дважды заполнять такой большой объем информации по ИП в столь короткие сроки, он еще не доработан, служба технической поддержки занимается доработкой данного отчета. 
Отчет по ИП можно так же посмотреть на сайте http://primtep.ru  Пройти по ссылке: http://primtep.ru/shareinfo/invest/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</si>
  <si>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</si>
  <si>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</si>
  <si>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</si>
  <si>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</si>
  <si>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</si>
  <si>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</si>
  <si>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</si>
  <si>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</si>
  <si>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</si>
  <si>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</si>
  <si>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</si>
  <si>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</si>
  <si>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</si>
  <si>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</si>
  <si>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</si>
  <si>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</si>
  <si>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</si>
  <si>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</si>
  <si>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</si>
  <si>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</si>
  <si>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</si>
  <si>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</si>
  <si>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</si>
  <si>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2664</t>
  </si>
  <si>
    <t>26470028</t>
  </si>
  <si>
    <t>АО " Находкинский морской торговый порт"</t>
  </si>
  <si>
    <t>2508001449</t>
  </si>
  <si>
    <t>250801001</t>
  </si>
  <si>
    <t>14-01-2010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</si>
  <si>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</si>
  <si>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</si>
  <si>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26470102</t>
  </si>
  <si>
    <t>АО "Горнорудная компания "АИР"</t>
  </si>
  <si>
    <t>2517005270</t>
  </si>
  <si>
    <t>254250001</t>
  </si>
  <si>
    <t>01-01-2024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</si>
  <si>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</si>
  <si>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</si>
  <si>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</si>
  <si>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31664312</t>
  </si>
  <si>
    <t>АО "ДГК"</t>
  </si>
  <si>
    <t>1434031363</t>
  </si>
  <si>
    <t>253645001</t>
  </si>
  <si>
    <t>01-01-2023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</si>
  <si>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</si>
  <si>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</si>
  <si>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</si>
  <si>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</si>
  <si>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</si>
  <si>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</si>
  <si>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</si>
  <si>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26781662</t>
  </si>
  <si>
    <t>АО "Желдорреммаш" филиал "Уссурийский локомотиворемонтный завод"</t>
  </si>
  <si>
    <t>7715729877</t>
  </si>
  <si>
    <t>251143001</t>
  </si>
  <si>
    <t>22-02-2011 00:00:00</t>
  </si>
  <si>
    <t>28048296</t>
  </si>
  <si>
    <t>АО "Кузбассэнерго"</t>
  </si>
  <si>
    <t>4200000333</t>
  </si>
  <si>
    <t>420501001</t>
  </si>
  <si>
    <t>30-12-1993 00:00:00</t>
  </si>
  <si>
    <t>27-04-2023 00:00:00</t>
  </si>
  <si>
    <t>28236659</t>
  </si>
  <si>
    <t>АО "Первая инвестиционная управляющая компания"</t>
  </si>
  <si>
    <t>2536236650</t>
  </si>
  <si>
    <t>253601001</t>
  </si>
  <si>
    <t>26-07-2013 00:00:00</t>
  </si>
  <si>
    <t>26470237</t>
  </si>
  <si>
    <t>АО "Спасcкцемент"</t>
  </si>
  <si>
    <t>2510001238</t>
  </si>
  <si>
    <t>251001001</t>
  </si>
  <si>
    <t>16-06-2010 00:00:00</t>
  </si>
  <si>
    <t>31-12-2018 00:00:00</t>
  </si>
  <si>
    <t>Некомбинированная выработка :: Передача</t>
  </si>
  <si>
    <t>/Тепловая энергия/Производство/Некомбинированная выработка :: /Тепловая энергия/Передача</t>
  </si>
  <si>
    <t>31355473</t>
  </si>
  <si>
    <t>АО "Уссурийское предприятие тепловых сетей"</t>
  </si>
  <si>
    <t>2511111265</t>
  </si>
  <si>
    <t>251101001</t>
  </si>
  <si>
    <t>12-11-2019 00:00:00</t>
  </si>
  <si>
    <t>01-01-2020 00:00:00</t>
  </si>
  <si>
    <t>31256016</t>
  </si>
  <si>
    <t>АО "ХСКР"</t>
  </si>
  <si>
    <t>7708550371</t>
  </si>
  <si>
    <t>770801001</t>
  </si>
  <si>
    <t>01-01-2019 00:00:00</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</si>
  <si>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</si>
  <si>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</si>
  <si>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</si>
  <si>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</si>
  <si>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</si>
  <si>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</si>
  <si>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</si>
  <si>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</si>
  <si>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</si>
  <si>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12-01-2012 00:00:00</t>
  </si>
  <si>
    <t>30917721</t>
  </si>
  <si>
    <t>ГБУ "ХОЗУ"</t>
  </si>
  <si>
    <t>2540016993</t>
  </si>
  <si>
    <t>26-05-2017 00:00:00</t>
  </si>
  <si>
    <t>30365088</t>
  </si>
  <si>
    <t>ГБУЗ "Приморский краевой противотуберкулезный диспансер"</t>
  </si>
  <si>
    <t>2539009991</t>
  </si>
  <si>
    <t>253900101</t>
  </si>
  <si>
    <t>23-11-2015 00:00:00</t>
  </si>
  <si>
    <t>Некомбинированная выработка :: Сбыт</t>
  </si>
  <si>
    <t>/Тепловая энергия/Производство/Некомбинированная выработка :: /Тепловая энергия/Сбыт</t>
  </si>
  <si>
    <t>26512635</t>
  </si>
  <si>
    <t>Дирекция по тепловодоснабжению - структурное подразделение ДВЖД - филиала  ОАО "РЖД"</t>
  </si>
  <si>
    <t>7708503727</t>
  </si>
  <si>
    <t>272445002</t>
  </si>
  <si>
    <t>11-05-2010 00:00:00</t>
  </si>
  <si>
    <t>01-03-2020 00:00:00</t>
  </si>
  <si>
    <t>02-10-2023 00:00:00</t>
  </si>
  <si>
    <t>31257634</t>
  </si>
  <si>
    <t>ЗАО "Востокбункер"</t>
  </si>
  <si>
    <t>2531004127</t>
  </si>
  <si>
    <t>253101001</t>
  </si>
  <si>
    <t>04-11-2002 00:00:00</t>
  </si>
  <si>
    <t>31598773</t>
  </si>
  <si>
    <t>ИП Колегов Е.В.</t>
  </si>
  <si>
    <t>251100718700</t>
  </si>
  <si>
    <t>20-03-2008 00:00:00</t>
  </si>
  <si>
    <t>10-10-2022 00:00:00</t>
  </si>
  <si>
    <t>26469944</t>
  </si>
  <si>
    <t>КГАУСО "УРЦ"</t>
  </si>
  <si>
    <t>2511014430</t>
  </si>
  <si>
    <t>26469984</t>
  </si>
  <si>
    <t>КГБУ СО "Партизанский психоневрологический интернат"</t>
  </si>
  <si>
    <t>2509003784</t>
  </si>
  <si>
    <t>250901001</t>
  </si>
  <si>
    <t>14-03-1975 00:00:00</t>
  </si>
  <si>
    <t>25-11-2015 00:00:00</t>
  </si>
  <si>
    <t>30840452</t>
  </si>
  <si>
    <t>КГБУЗ МЦ "Резерв"</t>
  </si>
  <si>
    <t>2521002258</t>
  </si>
  <si>
    <t>252101001</t>
  </si>
  <si>
    <t>06-10-2016 00:00:00</t>
  </si>
  <si>
    <t>Сбыт</t>
  </si>
  <si>
    <t>/Тепловая энергия/Сбыт</t>
  </si>
  <si>
    <t>01-01-2018 00:00:00</t>
  </si>
  <si>
    <t>Теплоноситель - Производство :: Передача</t>
  </si>
  <si>
    <t>Производство :: Передача</t>
  </si>
  <si>
    <t>/Теплоноситель/Производство :: /Теплоноситель/Передача</t>
  </si>
  <si>
    <t>26896946</t>
  </si>
  <si>
    <t>КГОБУ "Приморская спецшкола"</t>
  </si>
  <si>
    <t>2511016149</t>
  </si>
  <si>
    <t>28-07-2011 00:00:00</t>
  </si>
  <si>
    <t>26470185</t>
  </si>
  <si>
    <t>29-06-2020 00:00:00</t>
  </si>
  <si>
    <t>09-12-2020 00:00:00</t>
  </si>
  <si>
    <t>31503620</t>
  </si>
  <si>
    <t>МБУ "СКС"</t>
  </si>
  <si>
    <t>2502064403</t>
  </si>
  <si>
    <t>250201001</t>
  </si>
  <si>
    <t>26-03-2021 00:00:00</t>
  </si>
  <si>
    <t>01-04-2021 00:00:00</t>
  </si>
  <si>
    <t>Некомбинированная выработка</t>
  </si>
  <si>
    <t>/Тепловая энергия/Производство/Некомбинированная выработка</t>
  </si>
  <si>
    <t>26470110</t>
  </si>
  <si>
    <t>МУП "Коммунальный комплекс Пластун"</t>
  </si>
  <si>
    <t>2528885436</t>
  </si>
  <si>
    <t>252801001</t>
  </si>
  <si>
    <t>01-01-2021 00:00:00</t>
  </si>
  <si>
    <t>Сбыт :: Передача</t>
  </si>
  <si>
    <t>/Тепловая энергия/Сбыт :: /Тепловая энергия/Передача</t>
  </si>
  <si>
    <t>26470106</t>
  </si>
  <si>
    <t>МУП "Коммунальный комплекс п. Терней"</t>
  </si>
  <si>
    <t>2528886091</t>
  </si>
  <si>
    <t>26320288</t>
  </si>
  <si>
    <t>МУПВ "ВПЭС"</t>
  </si>
  <si>
    <t>2504000684</t>
  </si>
  <si>
    <t>13-08-2008 00:00:00</t>
  </si>
  <si>
    <t>/Тепловая энергия/Передача</t>
  </si>
  <si>
    <t>28870593</t>
  </si>
  <si>
    <t>Михайловское РАЙПО</t>
  </si>
  <si>
    <t>2520007310</t>
  </si>
  <si>
    <t>252001001</t>
  </si>
  <si>
    <t>16-01-2015 00:00:00</t>
  </si>
  <si>
    <t>26469916</t>
  </si>
  <si>
    <t>ОАО "Владивостокский морской рыбный порт"</t>
  </si>
  <si>
    <t>2537009770</t>
  </si>
  <si>
    <t>253701001</t>
  </si>
  <si>
    <t>26470114</t>
  </si>
  <si>
    <t>ОАО "Импульс"</t>
  </si>
  <si>
    <t>2528000926</t>
  </si>
  <si>
    <t>26470108</t>
  </si>
  <si>
    <t>ОАО "Тернейлес"</t>
  </si>
  <si>
    <t>2528000813</t>
  </si>
  <si>
    <t>28870656</t>
  </si>
  <si>
    <t>ООО "АИТ"</t>
  </si>
  <si>
    <t>7743816842</t>
  </si>
  <si>
    <t>997450001</t>
  </si>
  <si>
    <t>31037792</t>
  </si>
  <si>
    <t>ООО "Автомобильный переход Краскино"</t>
  </si>
  <si>
    <t>2531008210</t>
  </si>
  <si>
    <t>28870716</t>
  </si>
  <si>
    <t>ООО "БМК"</t>
  </si>
  <si>
    <t>2508115950</t>
  </si>
  <si>
    <t>25-10-2021 00:00:00</t>
  </si>
  <si>
    <t>31594636</t>
  </si>
  <si>
    <t>ООО "Восток Сервис Бункер"</t>
  </si>
  <si>
    <t>2508133131</t>
  </si>
  <si>
    <t>03-05-2018 00:00:00</t>
  </si>
  <si>
    <t>14-06-2022 00:00:00</t>
  </si>
  <si>
    <t>31519396</t>
  </si>
  <si>
    <t>ООО "Гранд"</t>
  </si>
  <si>
    <t>2508092767</t>
  </si>
  <si>
    <t>17-09-2021 00:00:00</t>
  </si>
  <si>
    <t>06-10-2021 00:00:00</t>
  </si>
  <si>
    <t>30840423</t>
  </si>
  <si>
    <t>ООО "Дальнегорский ГОК"</t>
  </si>
  <si>
    <t>7718957575</t>
  </si>
  <si>
    <t>250501001</t>
  </si>
  <si>
    <t>31451915</t>
  </si>
  <si>
    <t>ООО "ИКС поселок Новый"</t>
  </si>
  <si>
    <t>2521016606</t>
  </si>
  <si>
    <t>19-11-2020 00:00:00</t>
  </si>
  <si>
    <t>18-11-2020 00:00:00</t>
  </si>
  <si>
    <t>31351347</t>
  </si>
  <si>
    <t>ООО "ИКС-Фокино"</t>
  </si>
  <si>
    <t>2537139561</t>
  </si>
  <si>
    <t>251201001</t>
  </si>
  <si>
    <t>19-02-2019 00:00:00</t>
  </si>
  <si>
    <t>01-11-2019 00:00:00</t>
  </si>
  <si>
    <t>31718156</t>
  </si>
  <si>
    <t>ООО "Новая Энергетика"</t>
  </si>
  <si>
    <t>2543168948</t>
  </si>
  <si>
    <t>254301001</t>
  </si>
  <si>
    <t>14-12-2023 00:00:00</t>
  </si>
  <si>
    <t>28870645</t>
  </si>
  <si>
    <t>ООО "Приграничье"</t>
  </si>
  <si>
    <t>2536152619</t>
  </si>
  <si>
    <t>29649591</t>
  </si>
  <si>
    <t>ООО "Приморская соя"</t>
  </si>
  <si>
    <t>7730168471</t>
  </si>
  <si>
    <t>30-09-2022 00:00:00</t>
  </si>
  <si>
    <t>31542883</t>
  </si>
  <si>
    <t>ООО "ССК "Звезда"</t>
  </si>
  <si>
    <t>2503032517</t>
  </si>
  <si>
    <t>250301001</t>
  </si>
  <si>
    <t>17-12-2015 00:00:00</t>
  </si>
  <si>
    <t>01-01-2022 00:00:00</t>
  </si>
  <si>
    <t>26469994</t>
  </si>
  <si>
    <t>ООО "Санаторий "Амурский залив"</t>
  </si>
  <si>
    <t>2539042519</t>
  </si>
  <si>
    <t>253901001</t>
  </si>
  <si>
    <t>08-09-1999 00:00:00</t>
  </si>
  <si>
    <t>28028705</t>
  </si>
  <si>
    <t>ООО "Техстройдом"</t>
  </si>
  <si>
    <t>2508079526</t>
  </si>
  <si>
    <t>09-01-2013 00:00:00</t>
  </si>
  <si>
    <t>26759412</t>
  </si>
  <si>
    <t>ООО "Транснефть - порт Козьмино"</t>
  </si>
  <si>
    <t>2508081814</t>
  </si>
  <si>
    <t>26525181</t>
  </si>
  <si>
    <t>ООО "УК ПВЭСиК"</t>
  </si>
  <si>
    <t>2526007193</t>
  </si>
  <si>
    <t>252601001</t>
  </si>
  <si>
    <t>28870666</t>
  </si>
  <si>
    <t>ООО "Энергия"</t>
  </si>
  <si>
    <t>2536273740</t>
  </si>
  <si>
    <t>14-10-2020 00:00:00</t>
  </si>
  <si>
    <t>30858864</t>
  </si>
  <si>
    <t>ООО "Энергокомплекс"</t>
  </si>
  <si>
    <t>2536297036</t>
  </si>
  <si>
    <t>30-12-2016 00:00:00</t>
  </si>
  <si>
    <t>31207123</t>
  </si>
  <si>
    <t>ПАО "РусГидро"</t>
  </si>
  <si>
    <t>2460066195</t>
  </si>
  <si>
    <t>246601001</t>
  </si>
  <si>
    <t>16-10-2018 00:00:00</t>
  </si>
  <si>
    <t>Комбинированная выработка</t>
  </si>
  <si>
    <t>/Тепловая энергия/Производство/Комбинированная выработка</t>
  </si>
  <si>
    <t>26771730</t>
  </si>
  <si>
    <t>ПСМК "Энергия"</t>
  </si>
  <si>
    <t>2517001244</t>
  </si>
  <si>
    <t>251701001</t>
  </si>
  <si>
    <t>27-08-2009 00:00:00</t>
  </si>
  <si>
    <t>03-11-2022 00:00:00</t>
  </si>
  <si>
    <t>30795400</t>
  </si>
  <si>
    <t>Пограничное управление ФСБ РФ по Приморскому краю</t>
  </si>
  <si>
    <t>2536164734</t>
  </si>
  <si>
    <t>27-12-2005 00:00:00</t>
  </si>
  <si>
    <t>27-10-2017 00:00:00</t>
  </si>
  <si>
    <t>30-10-2017 00:00:00</t>
  </si>
  <si>
    <t>26-01-2018 00:00:00</t>
  </si>
  <si>
    <t>05-10-2020 00:00:00</t>
  </si>
  <si>
    <t>26469990</t>
  </si>
  <si>
    <t>Управление Федеральной службы безопасности по Приморскому краю</t>
  </si>
  <si>
    <t>2540012484</t>
  </si>
  <si>
    <t>24-01-2010 00:00:00</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</si>
  <si>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</si>
  <si>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</si>
  <si>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</si>
  <si>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</si>
  <si>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</si>
  <si>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</si>
  <si>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</si>
  <si>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</si>
  <si>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24-08-2017 00:00:00</t>
  </si>
  <si>
    <t>24-10-2017 00:00:00</t>
  </si>
  <si>
    <t>04-03-2020 00:00:00</t>
  </si>
  <si>
    <t>05-03-2020 00:00:00</t>
  </si>
  <si>
    <t>30-03-2020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</si>
  <si>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</si>
  <si>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</si>
  <si>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</si>
  <si>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</si>
  <si>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</si>
  <si>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</si>
  <si>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26470124</t>
  </si>
  <si>
    <t>ФКУ ИК-20 ГУФСИН России по Приморскому краю</t>
  </si>
  <si>
    <t>2502025612</t>
  </si>
  <si>
    <t>26650028</t>
  </si>
  <si>
    <t>ФКУ ИК-31 ГУФСИН России по Приморскому краю</t>
  </si>
  <si>
    <t>2534005496</t>
  </si>
  <si>
    <t>253401001</t>
  </si>
  <si>
    <t>28508071</t>
  </si>
  <si>
    <t>ФКУЗ Санаторий "Приморье"</t>
  </si>
  <si>
    <t>2539011630</t>
  </si>
  <si>
    <t>20-05-2014 00:00:00</t>
  </si>
  <si>
    <t>27294665</t>
  </si>
  <si>
    <t>Филиал "Приморский" АО "Оборонэнерго"</t>
  </si>
  <si>
    <t>7704726225</t>
  </si>
  <si>
    <t>253643001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</si>
  <si>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</si>
  <si>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</si>
  <si>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</si>
  <si>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</si>
  <si>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</si>
  <si>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</si>
  <si>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01-03-2019 00:00:00</t>
  </si>
  <si>
    <t>Оказание услуг в сфере горячего водоснабжения</t>
  </si>
  <si>
    <t>/ГВС/Производство</t>
  </si>
  <si>
    <t>25-11-2019 00:00:00</t>
  </si>
  <si>
    <t>Сбыт :: Производство :: Транспортировка</t>
  </si>
  <si>
    <t>/ГВС/Сбыт :: /ГВС/Производство :: /ГВС/Транспортировка</t>
  </si>
  <si>
    <t>09-02-2017 00:00:00</t>
  </si>
  <si>
    <t>Сбыт :: Производство</t>
  </si>
  <si>
    <t>/ГВС/Сбыт :: /ГВС/Производство</t>
  </si>
  <si>
    <t>01-07-2020 00:00:00</t>
  </si>
  <si>
    <t>01-12-2022 00:00:00</t>
  </si>
  <si>
    <t>08-02-2017 00:00:00</t>
  </si>
  <si>
    <t>28427651</t>
  </si>
  <si>
    <t>фгку "Войсковая часть 83417"</t>
  </si>
  <si>
    <t>2503006098</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</si>
  <si>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</si>
  <si>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</si>
  <si>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</si>
  <si>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</si>
  <si>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Техническая</t>
  </si>
  <si>
    <t>/ХВС/Производство/Техническая</t>
  </si>
  <si>
    <t>26538809</t>
  </si>
  <si>
    <t>АО "МАВ"</t>
  </si>
  <si>
    <t>2502035642</t>
  </si>
  <si>
    <t>12-07-2010 00:00:00</t>
  </si>
  <si>
    <t>Подвоз воды :: Техническая</t>
  </si>
  <si>
    <t>/ХВС/Подвоз воды :: /ХВС/Транспортировка/Техническая</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</si>
  <si>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</si>
  <si>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</si>
  <si>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26579122</t>
  </si>
  <si>
    <t>АО "Торговый порт п. Посьет"</t>
  </si>
  <si>
    <t>2531002070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</si>
  <si>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</si>
  <si>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</si>
  <si>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01-08-2019 00:00:00</t>
  </si>
  <si>
    <t>Питьевая</t>
  </si>
  <si>
    <t>/ХВС/Транспортировка/Питьевая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</si>
  <si>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</si>
  <si>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</si>
  <si>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/ХВС/Производство/Питьевая</t>
  </si>
  <si>
    <t>31709472</t>
  </si>
  <si>
    <t>ИП Волков Виктор Николаевич</t>
  </si>
  <si>
    <t>252200300595</t>
  </si>
  <si>
    <t>01-11-2023 00:00:00</t>
  </si>
  <si>
    <t>31257979</t>
  </si>
  <si>
    <t>ИП Коротков Н.А.</t>
  </si>
  <si>
    <t>250302760157</t>
  </si>
  <si>
    <t>Питьевая :: Питьевая</t>
  </si>
  <si>
    <t>/ХВС/Сбыт/Питьевая :: /ХВС/Производство/Питьевая</t>
  </si>
  <si>
    <t>31362500</t>
  </si>
  <si>
    <t>Индивидуальный предприниматель Клемба Дмитрий Иванович</t>
  </si>
  <si>
    <t>251702060578</t>
  </si>
  <si>
    <t>Питьевая :: Питьевая :: Очистка</t>
  </si>
  <si>
    <t>/ХВС/Сбыт/Питьевая :: /ХВС/Производство/Питьевая :: /ХВС/Очистка</t>
  </si>
  <si>
    <t>31037796</t>
  </si>
  <si>
    <t>КГБУСО "Липовецкий ПНИ"</t>
  </si>
  <si>
    <t>2522010741</t>
  </si>
  <si>
    <t>252201001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</si>
  <si>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</si>
  <si>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</si>
  <si>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01-01-2016 00:00:00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</si>
  <si>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</si>
  <si>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</si>
  <si>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26470203</t>
  </si>
  <si>
    <t>КГУП Приморский водоканал</t>
  </si>
  <si>
    <t>2503022413</t>
  </si>
  <si>
    <t>27-11-2015 00:00:00</t>
  </si>
  <si>
    <t>/ХВС/Сбыт/Питьевая</t>
  </si>
  <si>
    <t>03-06-2019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</si>
  <si>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</si>
  <si>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</si>
  <si>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/ХВС/Транспортировка/Питьевая :: /ХВС/Производство/Питьевая</t>
  </si>
  <si>
    <t>30-01-2024 00:00:00</t>
  </si>
  <si>
    <t>31614878</t>
  </si>
  <si>
    <t>МБУ ЛГО "Жилищно-коммунальное хозяйство и благоустройство"</t>
  </si>
  <si>
    <t>2511118503</t>
  </si>
  <si>
    <t>01-09-2022 00:00:00</t>
  </si>
  <si>
    <t>Подвоз воды</t>
  </si>
  <si>
    <t>/ХВС/Подвоз воды</t>
  </si>
  <si>
    <t>31026482</t>
  </si>
  <si>
    <t>МКП «Районное хозяйственное управление» Партизанского МР</t>
  </si>
  <si>
    <t>2524001365</t>
  </si>
  <si>
    <t>252401001</t>
  </si>
  <si>
    <t>Техническая :: Питьевая :: Очистка</t>
  </si>
  <si>
    <t>/ХВС/Производство/Техническая :: /ХВС/Производство/Питьевая :: /ХВС/Очистка</t>
  </si>
  <si>
    <t>31255287</t>
  </si>
  <si>
    <t>МКУ "АХОЗУ ДМР"</t>
  </si>
  <si>
    <t>2506010840</t>
  </si>
  <si>
    <t>250601001</t>
  </si>
  <si>
    <t>16-01-2019 00:00:00</t>
  </si>
  <si>
    <t>Питьевая :: Питьевая :: Питьевая</t>
  </si>
  <si>
    <t>/ХВС/Сбыт/Питьевая :: /ХВС/Транспортировка/Питьевая :: /ХВС/Производство/Питьевая</t>
  </si>
  <si>
    <t>31387103</t>
  </si>
  <si>
    <t>МКУ "ЖКХ"Спасский"</t>
  </si>
  <si>
    <t>2510014269</t>
  </si>
  <si>
    <t>31026491</t>
  </si>
  <si>
    <t>МКУ "Служба благоустройства Черниговского муниципального округа"</t>
  </si>
  <si>
    <t>2533010052</t>
  </si>
  <si>
    <t>253301001</t>
  </si>
  <si>
    <t>/ХВС/Транспортировка/Питьевая :: /ХВС/Производство/Питьевая :: /ХВС/Очистка</t>
  </si>
  <si>
    <t>31027638</t>
  </si>
  <si>
    <t>МКУ "Хозяйственное управление администрации Пограничного МР"</t>
  </si>
  <si>
    <t>2525001086</t>
  </si>
  <si>
    <t>252501001</t>
  </si>
  <si>
    <t>30367424</t>
  </si>
  <si>
    <t>МУП "Анучинское ЖКХ"</t>
  </si>
  <si>
    <t>2513004893</t>
  </si>
  <si>
    <t>251301001</t>
  </si>
  <si>
    <t>31615982</t>
  </si>
  <si>
    <t>МУП "Водопроводные сети"</t>
  </si>
  <si>
    <t>2511118750</t>
  </si>
  <si>
    <t>09-09-2022 00:00:00</t>
  </si>
  <si>
    <t>07-02-2024 00:00:00</t>
  </si>
  <si>
    <t>30367458</t>
  </si>
  <si>
    <t>МУП "ЖКХ Ханкайского района"</t>
  </si>
  <si>
    <t>2530008552</t>
  </si>
  <si>
    <t>253001001</t>
  </si>
  <si>
    <t>Подвоз воды :: Питьевая :: Питьевая</t>
  </si>
  <si>
    <t>/ХВС/Подвоз воды :: /ХВС/Сбыт/Питьевая :: /ХВС/Производство/Питьевая</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</si>
  <si>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</si>
  <si>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</si>
  <si>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</si>
  <si>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</si>
  <si>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</si>
  <si>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</si>
  <si>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</si>
  <si>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</si>
  <si>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</si>
  <si>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</si>
  <si>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</si>
  <si>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26469970</t>
  </si>
  <si>
    <t>МУП "Уссурийск-Водоканал"</t>
  </si>
  <si>
    <t>2511040110</t>
  </si>
  <si>
    <t>01-08-2017 00:00:00</t>
  </si>
  <si>
    <t>26470269</t>
  </si>
  <si>
    <t>МУП «Погранводовод»</t>
  </si>
  <si>
    <t>2525000685</t>
  </si>
  <si>
    <t>Питьевая :: Питьевая :: Питьевая :: Очистка</t>
  </si>
  <si>
    <t>/ХВС/Сбыт/Питьевая :: /ХВС/Транспортировка/Питьевая :: /ХВС/Производство/Питьевая :: /ХВС/Очистка</t>
  </si>
  <si>
    <t>31350465</t>
  </si>
  <si>
    <t>МУП ЛГО "Коммунальное хозяйство"</t>
  </si>
  <si>
    <t>2507012960</t>
  </si>
  <si>
    <t>250701001</t>
  </si>
  <si>
    <t>02-10-2019 00:00:00</t>
  </si>
  <si>
    <t>Подвоз воды :: Техническая :: Питьевая</t>
  </si>
  <si>
    <t>/ХВС/Подвоз воды :: /ХВС/Производство/Техническая :: /ХВС/Производство/Питьевая</t>
  </si>
  <si>
    <t>26470265</t>
  </si>
  <si>
    <t>МУП Находка-Водоканал</t>
  </si>
  <si>
    <t>2508058565</t>
  </si>
  <si>
    <t>30367433</t>
  </si>
  <si>
    <t>МУП Пожарского МР "Лидер"</t>
  </si>
  <si>
    <t>2526011560</t>
  </si>
  <si>
    <t>30391734</t>
  </si>
  <si>
    <t>ОАО "Морепродукт"</t>
  </si>
  <si>
    <t>2508037928</t>
  </si>
  <si>
    <t>25-01-2016 00:00:00</t>
  </si>
  <si>
    <t>31739692</t>
  </si>
  <si>
    <t>ОБЩЕСТВО С ОГРАНИЧЕННОЙ ОТВЕТСТВЕННОСТЬЮ "СПЕЦРЕСУРС"</t>
  </si>
  <si>
    <t>2536341503</t>
  </si>
  <si>
    <t>06-10-2023 00:00:00</t>
  </si>
  <si>
    <t>01-03-2024 00:00:00</t>
  </si>
  <si>
    <t>17-03-2024 00:00:00</t>
  </si>
  <si>
    <t>18-03-2024 00:00:00</t>
  </si>
  <si>
    <t>31600940</t>
  </si>
  <si>
    <t>ООО "Водоканал Арсеньев"</t>
  </si>
  <si>
    <t>2502067683</t>
  </si>
  <si>
    <t>04-04-2022 00:00:00</t>
  </si>
  <si>
    <t>01-08-2022 00:00:00</t>
  </si>
  <si>
    <t>26470347</t>
  </si>
  <si>
    <t>ООО "Водоканал-Сервис"</t>
  </si>
  <si>
    <t>2535004287</t>
  </si>
  <si>
    <t>253501001</t>
  </si>
  <si>
    <t>26470549</t>
  </si>
  <si>
    <t>ООО "Водолей"</t>
  </si>
  <si>
    <t>2534006059</t>
  </si>
  <si>
    <t>31161519</t>
  </si>
  <si>
    <t>ООО "Водоресурс"</t>
  </si>
  <si>
    <t>2507012832</t>
  </si>
  <si>
    <t>20-04-2018 00:00:00</t>
  </si>
  <si>
    <t>24-07-2018 00:00:00</t>
  </si>
  <si>
    <t>Подвоз воды :: Питьевая :: Питьевая :: Питьевая</t>
  </si>
  <si>
    <t>/ХВС/Подвоз воды :: /ХВС/Сбыт/Питьевая :: /ХВС/Транспортировка/Питьевая :: /ХВС/Производство/Питьевая</t>
  </si>
  <si>
    <t>31541213</t>
  </si>
  <si>
    <t>ООО "Восток Инжиниринг"</t>
  </si>
  <si>
    <t>2510013723</t>
  </si>
  <si>
    <t>01-12-2021 00:00:00</t>
  </si>
  <si>
    <t>30367074</t>
  </si>
  <si>
    <t>ООО "Вотэк"</t>
  </si>
  <si>
    <t>2524118807</t>
  </si>
  <si>
    <t>17-01-2017 00:00:00</t>
  </si>
  <si>
    <t>31380860</t>
  </si>
  <si>
    <t>ООО "Дельта"</t>
  </si>
  <si>
    <t>2508094250</t>
  </si>
  <si>
    <t>22-01-2020 00:00:00</t>
  </si>
  <si>
    <t>31657408</t>
  </si>
  <si>
    <t>ООО "Инженерные системы и коммуникации - Дальнего Востока"</t>
  </si>
  <si>
    <t>2526006841</t>
  </si>
  <si>
    <t>16-02-2023 00:00:00</t>
  </si>
  <si>
    <t>01-03-2023 00:00:00</t>
  </si>
  <si>
    <t>Питьевая :: Очистка</t>
  </si>
  <si>
    <t>/ХВС/Производство/Питьевая :: /ХВС/Очистка</t>
  </si>
  <si>
    <t>31276972</t>
  </si>
  <si>
    <t>ООО "Стройка плюс"</t>
  </si>
  <si>
    <t>2521015063</t>
  </si>
  <si>
    <t>21-02-2019 00:00:00</t>
  </si>
  <si>
    <t>01-02-2011 00:00:00</t>
  </si>
  <si>
    <t>Техническая :: Техническая :: Техническая</t>
  </si>
  <si>
    <t>/ХВС/Сбыт/Техническая :: /ХВС/Транспортировка/Техническая :: /ХВС/Производство/Техническая</t>
  </si>
  <si>
    <t>01-01-2017 00:00:00</t>
  </si>
  <si>
    <t>Очистка</t>
  </si>
  <si>
    <t>/ХВС/Очистка</t>
  </si>
  <si>
    <t>28978230</t>
  </si>
  <si>
    <t>ООО "Транснефть-Дальний Восток"</t>
  </si>
  <si>
    <t>2724132118</t>
  </si>
  <si>
    <t>250643001</t>
  </si>
  <si>
    <t>22-06-2015 00:00:00</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</si>
  <si>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</si>
  <si>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</si>
  <si>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</si>
  <si>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</si>
  <si>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</si>
  <si>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</si>
  <si>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</si>
  <si>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</si>
  <si>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</si>
  <si>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</si>
  <si>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</si>
  <si>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</si>
  <si>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26470231</t>
  </si>
  <si>
    <t>ООО Горный ключ</t>
  </si>
  <si>
    <t>2508077254</t>
  </si>
  <si>
    <t>31263071</t>
  </si>
  <si>
    <t>ООО РО "СпасскКоммуналСервис"</t>
  </si>
  <si>
    <t>2510014910</t>
  </si>
  <si>
    <t>01-02-2019 00:00:00</t>
  </si>
  <si>
    <t>31640943</t>
  </si>
  <si>
    <t>ООО УК "Рост"</t>
  </si>
  <si>
    <t>2536324071</t>
  </si>
  <si>
    <t>26470253</t>
  </si>
  <si>
    <t>ООО Форд-Ност</t>
  </si>
  <si>
    <t>2508056215</t>
  </si>
  <si>
    <t>26470197</t>
  </si>
  <si>
    <t>ООО Чистая вода плюс</t>
  </si>
  <si>
    <t>2508077279</t>
  </si>
  <si>
    <t>01-07-2021 00:00:00</t>
  </si>
  <si>
    <t>28873723</t>
  </si>
  <si>
    <t>СХПК «Новолитовский»</t>
  </si>
  <si>
    <t>2524001140</t>
  </si>
  <si>
    <t>26470339</t>
  </si>
  <si>
    <t>СХПК Хорольское</t>
  </si>
  <si>
    <t>2532000020</t>
  </si>
  <si>
    <t>253201001</t>
  </si>
  <si>
    <t>17-01-2018 00:00:00</t>
  </si>
  <si>
    <t>26470026</t>
  </si>
  <si>
    <t>ФГКУ "Оптовая база № 42"</t>
  </si>
  <si>
    <t>2513001797</t>
  </si>
  <si>
    <t>26469900</t>
  </si>
  <si>
    <t>ФГКУ «Витязь»</t>
  </si>
  <si>
    <t>2513001780</t>
  </si>
  <si>
    <t>30804634</t>
  </si>
  <si>
    <t>ФКУ ИК-10 ГУФСИН России по Приморскому краю</t>
  </si>
  <si>
    <t>2520000280</t>
  </si>
  <si>
    <t>28444428</t>
  </si>
  <si>
    <t>муп "Жилищно-коммунальное хозяйство "Ольга"</t>
  </si>
  <si>
    <t>2523004525</t>
  </si>
  <si>
    <t>252301001</t>
  </si>
  <si>
    <t>10-01-2013 00:00:00</t>
  </si>
  <si>
    <t>28146501</t>
  </si>
  <si>
    <t>муп "Липовецкое"</t>
  </si>
  <si>
    <t>2522042447</t>
  </si>
  <si>
    <t>27872682</t>
  </si>
  <si>
    <t>ооо Водозабор Хмыловский</t>
  </si>
  <si>
    <t>2508074983</t>
  </si>
  <si>
    <t>28-09-2012 00:00:00</t>
  </si>
  <si>
    <t>26469962</t>
  </si>
  <si>
    <t>АО "Кислород"</t>
  </si>
  <si>
    <t>2511000090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</si>
  <si>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</si>
  <si>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</si>
  <si>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</si>
  <si>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31027627</t>
  </si>
  <si>
    <t>АО "Корпорация развития ПК"</t>
  </si>
  <si>
    <t>2540193103</t>
  </si>
  <si>
    <t>01-05-2018 00:00:00</t>
  </si>
  <si>
    <t>28061906</t>
  </si>
  <si>
    <t>АО "Терминал Владивосток"</t>
  </si>
  <si>
    <t>2502039781</t>
  </si>
  <si>
    <t>24-01-2013 00:00:00</t>
  </si>
  <si>
    <t>30-10-2019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</si>
  <si>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</si>
  <si>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</si>
  <si>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</si>
  <si>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</si>
  <si>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</si>
  <si>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</si>
  <si>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31590722</t>
  </si>
  <si>
    <t>МАУ "РКЦ" ЗАТО Фокино</t>
  </si>
  <si>
    <t>2512306718</t>
  </si>
  <si>
    <t>08-07-2016 00:00:00</t>
  </si>
  <si>
    <t>01-06-2022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</si>
  <si>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</si>
  <si>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</si>
  <si>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</si>
  <si>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</si>
  <si>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28447871</t>
  </si>
  <si>
    <t>МУП "Кирос"</t>
  </si>
  <si>
    <t>2516001636</t>
  </si>
  <si>
    <t>251601001</t>
  </si>
  <si>
    <t>24-12-2013 00:00:00</t>
  </si>
  <si>
    <t>22-01-2018 00:00:00</t>
  </si>
  <si>
    <t>31027543</t>
  </si>
  <si>
    <t>МУП Зарубинского ГП "Зарубино-ДВ"</t>
  </si>
  <si>
    <t>2531012880</t>
  </si>
  <si>
    <t>31600947</t>
  </si>
  <si>
    <t>ООО "Водосток"</t>
  </si>
  <si>
    <t>2502067690</t>
  </si>
  <si>
    <t>31161528</t>
  </si>
  <si>
    <t>2507012825</t>
  </si>
  <si>
    <t>26544384</t>
  </si>
  <si>
    <t>ООО "Врангель Водосток"</t>
  </si>
  <si>
    <t>2508077261</t>
  </si>
  <si>
    <t>21-07-2010 00:00:00</t>
  </si>
  <si>
    <t>28069921</t>
  </si>
  <si>
    <t>ООО "Инфраструктура"</t>
  </si>
  <si>
    <t>2508082399</t>
  </si>
  <si>
    <t>05-02-2008 00:00:00</t>
  </si>
  <si>
    <t>29-01-2013 00:00:00</t>
  </si>
  <si>
    <t>28945519</t>
  </si>
  <si>
    <t>ФГКУ "Доблесть"</t>
  </si>
  <si>
    <t>2521002240</t>
  </si>
  <si>
    <t>27-03-2015 00:00:00</t>
  </si>
  <si>
    <t>28444454</t>
  </si>
  <si>
    <t>ооо Управляющая компания "СпасскЖилСервис"</t>
  </si>
  <si>
    <t>2510013466</t>
  </si>
  <si>
    <t>16-12-2013 00:00:00</t>
  </si>
  <si>
    <t>31699066</t>
  </si>
  <si>
    <t>ИП Жидкова Елена Николаевна</t>
  </si>
  <si>
    <t>253100385036</t>
  </si>
  <si>
    <t>29-08-2000 00:00:00</t>
  </si>
  <si>
    <t>Транспортирование твердых коммунальных отходов</t>
  </si>
  <si>
    <t>/ТКО/Транспортирование твердых коммунальных отходов</t>
  </si>
  <si>
    <t>26469914</t>
  </si>
  <si>
    <t>КГУП "Приморский экологический оператор"</t>
  </si>
  <si>
    <t>2504000885</t>
  </si>
  <si>
    <t>02-02-2018 00:00:00</t>
  </si>
  <si>
    <t>/ТКО/Захоронение твердых коммунальных отходов</t>
  </si>
  <si>
    <t>/ТКО/Оказание услуги по обращению с твердыми коммунальными отходами региональным оператором</t>
  </si>
  <si>
    <t>/ТКО/Обработка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</si>
  <si>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</si>
  <si>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</si>
  <si>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Транспортирование твердых коммунальных отходов :: Оказание услуги по обращению с твердыми коммунальными отходами региональным оператором</t>
  </si>
  <si>
    <t>/ТКО/Транспортирование твердых коммунальных отходов :: /ТКО/Оказание услуги по обращению с твердыми коммунальными отходами региональным оператором</t>
  </si>
  <si>
    <t>30871843</t>
  </si>
  <si>
    <t>МКУ "Обслуживающее учреждение"</t>
  </si>
  <si>
    <t>2505007403</t>
  </si>
  <si>
    <t>24-08-2016 00:00:00</t>
  </si>
  <si>
    <t>28957242</t>
  </si>
  <si>
    <t>МУП "Городское хозяйство"</t>
  </si>
  <si>
    <t>2503031369</t>
  </si>
  <si>
    <t>31698781</t>
  </si>
  <si>
    <t>ООО "АЛЬФА КР"</t>
  </si>
  <si>
    <t>2516002975</t>
  </si>
  <si>
    <t>29-03-2019 00:00:00</t>
  </si>
  <si>
    <t>26470712</t>
  </si>
  <si>
    <t>ООО "Базис"</t>
  </si>
  <si>
    <t>2531003532</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</si>
  <si>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</si>
  <si>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</si>
  <si>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26771388</t>
  </si>
  <si>
    <t>ООО "Бумеранг"</t>
  </si>
  <si>
    <t>2511055268</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</si>
  <si>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</si>
  <si>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</si>
  <si>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</si>
  <si>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</si>
  <si>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</si>
  <si>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</si>
  <si>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</si>
  <si>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</si>
  <si>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</si>
  <si>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</si>
  <si>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</si>
  <si>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</si>
  <si>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</si>
  <si>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</si>
  <si>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</si>
  <si>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</si>
  <si>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</si>
  <si>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</si>
  <si>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</si>
  <si>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</si>
  <si>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</si>
  <si>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</si>
  <si>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</si>
  <si>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</si>
  <si>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</si>
  <si>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</si>
  <si>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26470084</t>
  </si>
  <si>
    <t>ООО "Жилсервис"</t>
  </si>
  <si>
    <t>2524111907</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</si>
  <si>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</si>
  <si>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</si>
  <si>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</si>
  <si>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</si>
  <si>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</si>
  <si>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</si>
  <si>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</si>
  <si>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</si>
  <si>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</si>
  <si>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</si>
  <si>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</si>
  <si>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</si>
  <si>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</si>
  <si>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</si>
  <si>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250101001</t>
  </si>
  <si>
    <t>31699094</t>
  </si>
  <si>
    <t>ООО "МИР СНАБЖЕНИЯ"</t>
  </si>
  <si>
    <t>2533008247</t>
  </si>
  <si>
    <t>27-06-2002 00:00:00</t>
  </si>
  <si>
    <t>31698966</t>
  </si>
  <si>
    <t>ООО "ОАЗИС"</t>
  </si>
  <si>
    <t>2508065435</t>
  </si>
  <si>
    <t>01-10-2004 00:00:00</t>
  </si>
  <si>
    <t>31699109</t>
  </si>
  <si>
    <t>ООО "РОДНИК-ДВ"</t>
  </si>
  <si>
    <t>2540132799</t>
  </si>
  <si>
    <t>13-06-2007 00:00:00</t>
  </si>
  <si>
    <t>12-10-2023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</si>
  <si>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</si>
  <si>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</si>
  <si>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</si>
  <si>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</si>
  <si>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</si>
  <si>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</si>
  <si>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</si>
  <si>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</si>
  <si>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</si>
  <si>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</si>
  <si>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</si>
  <si>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</si>
  <si>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</si>
  <si>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</si>
  <si>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</si>
  <si>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</si>
  <si>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</si>
  <si>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</si>
  <si>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</si>
  <si>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</si>
  <si>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</si>
  <si>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</si>
  <si>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</si>
  <si>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</si>
  <si>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</si>
  <si>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</si>
  <si>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</si>
  <si>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</si>
  <si>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</si>
  <si>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</si>
  <si>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</si>
  <si>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</si>
  <si>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</si>
  <si>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</si>
  <si>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</si>
  <si>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</si>
  <si>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</si>
  <si>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</si>
  <si>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</si>
  <si>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</si>
  <si>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</si>
  <si>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</si>
  <si>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</si>
  <si>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</si>
  <si>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</si>
  <si>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</si>
  <si>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</si>
  <si>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</si>
  <si>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</si>
  <si>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</si>
  <si>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</si>
  <si>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</si>
  <si>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</si>
  <si>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</si>
  <si>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</si>
  <si>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</si>
  <si>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</si>
  <si>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</si>
  <si>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</si>
  <si>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</si>
  <si>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</si>
  <si>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</si>
  <si>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</si>
  <si>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</si>
  <si>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</si>
  <si>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</si>
  <si>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</si>
  <si>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</si>
  <si>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23-01-2019 00:00:00</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</si>
  <si>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</si>
  <si>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</si>
  <si>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</si>
  <si>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</si>
  <si>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</si>
  <si>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</si>
  <si>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</si>
  <si>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</si>
  <si>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</si>
  <si>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</si>
  <si>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</si>
  <si>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</si>
  <si>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05607000</t>
  </si>
  <si>
    <t>сельское поселение</t>
  </si>
  <si>
    <t>муниципальный район</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</si>
  <si>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</si>
  <si>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</si>
  <si>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</si>
  <si>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05612000</t>
  </si>
  <si>
    <t>Горненское</t>
  </si>
  <si>
    <t>05612407</t>
  </si>
  <si>
    <t>городское поселение, в состав которого входит поселок</t>
  </si>
  <si>
    <t>Межселенные территории Кировского муниципального района, находящиеся вне границ городских и сельских поселений</t>
  </si>
  <si>
    <t>05612701</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</si>
  <si>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</si>
  <si>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</si>
  <si>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</si>
  <si>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</si>
  <si>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</si>
  <si>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</si>
  <si>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</si>
  <si>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Таежненское</t>
  </si>
  <si>
    <t>05614437</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</si>
  <si>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</si>
  <si>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</si>
  <si>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</si>
  <si>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</si>
  <si>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</si>
  <si>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</si>
  <si>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</si>
  <si>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</si>
  <si>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</si>
  <si>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</si>
  <si>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</si>
  <si>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</si>
  <si>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</si>
  <si>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</si>
  <si>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</si>
  <si>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</si>
  <si>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</si>
  <si>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</si>
  <si>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</si>
  <si>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</si>
  <si>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</si>
  <si>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</si>
  <si>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05637000</t>
  </si>
  <si>
    <t>71</t>
  </si>
  <si>
    <t>Тернейский муниципальный округ</t>
  </si>
  <si>
    <t>05540000</t>
  </si>
  <si>
    <t>75</t>
  </si>
  <si>
    <t>Уссурийский городской округ</t>
  </si>
  <si>
    <t>05723000</t>
  </si>
  <si>
    <t>76</t>
  </si>
  <si>
    <t>Черниговский муниципальный округ</t>
  </si>
  <si>
    <t>05553000</t>
  </si>
  <si>
    <t>80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</si>
  <si>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</si>
  <si>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</si>
  <si>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</si>
  <si>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</si>
  <si>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</si>
  <si>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</si>
  <si>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Шкотовский муниципальный округ</t>
  </si>
  <si>
    <t>05557000</t>
  </si>
  <si>
    <t>89</t>
  </si>
  <si>
    <t>05657000</t>
  </si>
  <si>
    <t>95</t>
  </si>
  <si>
    <t>Яковлевский муниципальный округ</t>
  </si>
  <si>
    <t>05559000</t>
  </si>
  <si>
    <t>98</t>
  </si>
  <si>
    <t>05659000</t>
  </si>
  <si>
    <t>Новосысоевское сельское поселение</t>
  </si>
  <si>
    <t>05659413</t>
  </si>
  <si>
    <t>100</t>
  </si>
  <si>
    <t>Яблоновское</t>
  </si>
  <si>
    <t>05659419</t>
  </si>
  <si>
    <t>102</t>
  </si>
  <si>
    <t>103</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</si>
  <si>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</si>
  <si>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</si>
  <si>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</si>
  <si>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</si>
  <si>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</si>
  <si>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</si>
  <si>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</si>
  <si>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</si>
  <si>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</si>
  <si>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</si>
  <si>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</si>
  <si>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</si>
  <si>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</si>
  <si>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</si>
  <si>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</si>
  <si>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</si>
  <si>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</si>
  <si>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</si>
  <si>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</si>
  <si>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</si>
  <si>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</si>
  <si>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</si>
  <si>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</si>
  <si>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</si>
  <si>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</si>
  <si>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</si>
  <si>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</si>
  <si>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</si>
  <si>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</si>
  <si>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</si>
  <si>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</si>
  <si>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</si>
  <si>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</si>
  <si>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</si>
  <si>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</si>
  <si>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</si>
  <si>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</si>
  <si>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</si>
  <si>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</si>
  <si>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</si>
  <si>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</si>
  <si>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</si>
  <si>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</si>
  <si>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</si>
  <si>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</si>
  <si>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</si>
  <si>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</si>
  <si>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</si>
  <si>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</si>
  <si>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</si>
  <si>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</si>
  <si>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</si>
  <si>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</si>
  <si>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</si>
  <si>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</si>
  <si>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</si>
  <si>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</si>
  <si>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</si>
  <si>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</si>
  <si>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</si>
  <si>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</si>
  <si>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</si>
  <si>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</si>
  <si>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</si>
  <si>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</si>
  <si>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</si>
  <si>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</si>
  <si>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</si>
  <si>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</si>
  <si>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</si>
  <si>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</si>
  <si>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</si>
  <si>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</si>
  <si>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</si>
  <si>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</si>
  <si>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</si>
  <si>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</si>
  <si>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</si>
  <si>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</si>
  <si>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</si>
  <si>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</si>
  <si>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</si>
  <si>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</si>
  <si>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</si>
  <si>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Территория 32</t>
  </si>
  <si>
    <t>Территория 33</t>
  </si>
  <si>
    <t>ID_TARIFF_NAME</t>
  </si>
  <si>
    <t>TARIFF_NAME</t>
  </si>
  <si>
    <t>VED_NAME</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</si>
  <si>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</si>
  <si>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</si>
  <si>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</si>
  <si>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</si>
  <si>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</si>
  <si>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</si>
  <si>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</si>
  <si>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</si>
  <si>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</si>
  <si>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</si>
  <si>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</si>
  <si>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</si>
  <si>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</si>
  <si>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</si>
  <si>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</si>
  <si>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</si>
  <si>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</si>
  <si>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</si>
  <si>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</si>
  <si>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</si>
  <si>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</si>
  <si>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</si>
  <si>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</si>
  <si>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</si>
  <si>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</si>
  <si>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</si>
  <si>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</si>
  <si>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</si>
  <si>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</si>
  <si>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</si>
  <si>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</si>
  <si>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</si>
  <si>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</si>
  <si>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</si>
  <si>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</si>
  <si>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</si>
  <si>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</si>
  <si>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</si>
  <si>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</si>
  <si>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</si>
  <si>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</si>
  <si>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</si>
  <si>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</si>
  <si>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</si>
  <si>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</si>
  <si>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</si>
  <si>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</si>
  <si>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</si>
  <si>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</si>
  <si>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</si>
  <si>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</si>
  <si>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</si>
  <si>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</si>
  <si>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</si>
  <si>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</si>
  <si>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</si>
  <si>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</si>
  <si>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</si>
  <si>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</si>
  <si>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</si>
  <si>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</si>
  <si>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</si>
  <si>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</si>
  <si>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</si>
  <si>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</si>
  <si>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</si>
  <si>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</si>
  <si>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</si>
  <si>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</si>
  <si>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</si>
  <si>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</si>
  <si>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</si>
  <si>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</si>
  <si>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</si>
  <si>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</si>
  <si>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</si>
  <si>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</si>
  <si>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</si>
  <si>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</si>
  <si>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</si>
  <si>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</si>
  <si>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</si>
  <si>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</si>
  <si>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</si>
  <si>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</si>
  <si>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</si>
  <si>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</si>
  <si>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</si>
  <si>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</si>
  <si>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</si>
  <si>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</si>
  <si>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</si>
  <si>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</si>
  <si>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</si>
  <si>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</si>
  <si>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</si>
  <si>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</si>
  <si>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</si>
  <si>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</si>
  <si>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</si>
  <si>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</si>
  <si>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</si>
  <si>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</si>
  <si>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</si>
  <si>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</si>
  <si>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</si>
  <si>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</si>
  <si>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</si>
  <si>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</si>
  <si>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</si>
  <si>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</si>
  <si>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</si>
  <si>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</si>
  <si>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</si>
  <si>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</si>
  <si>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</si>
  <si>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</si>
  <si>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</si>
  <si>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</si>
  <si>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</si>
  <si>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</si>
  <si>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</si>
  <si>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</si>
  <si>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</si>
  <si>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</si>
  <si>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</si>
  <si>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</si>
  <si>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</si>
  <si>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</si>
  <si>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</si>
  <si>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</si>
  <si>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</si>
  <si>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</si>
  <si>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</si>
  <si>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</si>
  <si>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</si>
  <si>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</si>
  <si>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</si>
  <si>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</si>
  <si>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</si>
  <si>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</si>
  <si>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</si>
  <si>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</si>
  <si>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</si>
  <si>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</si>
  <si>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</si>
  <si>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</si>
  <si>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</si>
  <si>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</si>
  <si>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</si>
  <si>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</si>
  <si>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</si>
  <si>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</si>
  <si>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</si>
  <si>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</si>
  <si>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</si>
  <si>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</si>
  <si>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</si>
  <si>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</si>
  <si>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</si>
  <si>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</si>
  <si>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</si>
  <si>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</si>
  <si>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</si>
  <si>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</si>
  <si>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</si>
  <si>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</si>
  <si>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</si>
  <si>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</si>
  <si>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</si>
  <si>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</si>
  <si>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</si>
  <si>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</si>
  <si>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</si>
  <si>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</si>
  <si>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</si>
  <si>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</si>
  <si>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</si>
  <si>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</si>
  <si>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</si>
  <si>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</si>
  <si>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</si>
  <si>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</si>
  <si>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</si>
  <si>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</si>
  <si>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</si>
  <si>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</si>
  <si>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</si>
  <si>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</si>
  <si>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</si>
  <si>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</si>
  <si>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Малюшицкий Владимир Алексеевич</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</si>
</sst>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0" fontId="0" fillId="0" borderId="0" xfId="0" applyAlignment="1">
      <alignment horizontal="left"/>
    </xf>
    <xf numFmtId="0" fontId="0" fillId="2" borderId="1" xfId="0" applyFill="1" applyBorder="1"/>
    <xf numFmtId="0" fontId="0" fillId="3" borderId="1" xfId="0" applyFill="1" applyBorder="1"/>
    <xf numFmtId="0" fontId="0" fillId="0" borderId="1" xfId="0" applyBorder="1"/>
    <xf numFmtId="0" fontId="0" fillId="0" borderId="0" xfId="0"/>
    <xf numFmtId="0" fontId="0" fillId="0" borderId="0" xfId="0"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30</xdr:row>
      <xdr:rowOff>44578</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dolmatovaev@primtep.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4ebf6965-16e3-488d-beca-b366289ae4a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J73"/>
  <sheetViews>
    <sheetView showGridLines="0" tabSelected="1" topLeftCell="C31" zoomScale="90" workbookViewId="0">
      <selection activeCell="E63" sqref="E63"/>
    </sheetView>
  </sheetViews>
  <sheetFormatPr defaultColWidth="9.140625" defaultRowHeight="11.25" customHeight="1" x14ac:dyDescent="0.15"/>
  <cols>
    <col min="1" max="2" width="10.7109375" hidden="1" customWidth="1"/>
    <col min="3" max="3" width="3.7109375" customWidth="1"/>
    <col min="4" max="4" width="1.7109375" customWidth="1"/>
    <col min="5" max="5" width="55.28515625" customWidth="1"/>
    <col min="6" max="6" width="50.7109375" customWidth="1"/>
    <col min="7" max="7" width="1.7109375" customWidth="1"/>
    <col min="8" max="8" width="18" hidden="1" customWidth="1"/>
    <col min="9" max="9" width="9.5703125" customWidth="1"/>
    <col min="10" max="10" width="52.140625" hidden="1" customWidth="1"/>
    <col min="12" max="12" width="78" customWidth="1"/>
  </cols>
  <sheetData>
    <row r="1" spans="1:10" ht="3" customHeight="1" x14ac:dyDescent="0.15">
      <c r="F1">
        <v>26354809</v>
      </c>
    </row>
    <row r="2" spans="1:10" ht="14.25" customHeight="1" x14ac:dyDescent="0.15">
      <c r="E2" s="7" t="e">
        <f>code</f>
        <v>#REF!</v>
      </c>
      <c r="F2" s="7"/>
      <c r="G2" s="7"/>
      <c r="H2" s="7"/>
      <c r="I2" s="7"/>
    </row>
    <row r="3" spans="1:10" ht="30" customHeight="1" x14ac:dyDescent="0.15">
      <c r="E3" s="2" t="e">
        <f>version</f>
        <v>#REF!</v>
      </c>
      <c r="F3" s="2"/>
      <c r="G3" s="2"/>
      <c r="H3" s="2"/>
      <c r="I3" s="2"/>
    </row>
    <row r="4" spans="1:10" ht="6" customHeight="1" x14ac:dyDescent="0.15"/>
    <row r="5" spans="1:10" ht="37.5" customHeight="1" x14ac:dyDescent="0.15">
      <c r="E5" s="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6"/>
    </row>
    <row r="6" spans="1:10" ht="6" customHeight="1" x14ac:dyDescent="0.15"/>
    <row r="7" spans="1:10" ht="19.5" customHeight="1" x14ac:dyDescent="0.15">
      <c r="E7" s="1" t="s">
        <v>0</v>
      </c>
      <c r="F7" s="3" t="s">
        <v>1</v>
      </c>
      <c r="G7" s="1"/>
      <c r="H7" s="1"/>
      <c r="I7" s="1"/>
    </row>
    <row r="8" spans="1:10" ht="6" customHeight="1" x14ac:dyDescent="0.15">
      <c r="E8" s="1"/>
      <c r="F8" s="3"/>
      <c r="G8" s="1"/>
      <c r="H8" s="1"/>
      <c r="I8" s="1"/>
    </row>
    <row r="9" spans="1:10" ht="22.5" hidden="1" customHeight="1" x14ac:dyDescent="0.15">
      <c r="A9" s="6" t="s">
        <v>2</v>
      </c>
      <c r="E9" s="1" t="s">
        <v>3</v>
      </c>
      <c r="F9" s="1" t="s">
        <v>4</v>
      </c>
      <c r="G9" s="1"/>
      <c r="H9" s="1" t="s">
        <v>5</v>
      </c>
      <c r="I9" s="1"/>
      <c r="J9" t="s">
        <v>6</v>
      </c>
    </row>
    <row r="10" spans="1:10" ht="22.5" hidden="1" customHeight="1" x14ac:dyDescent="0.15">
      <c r="A10" s="6"/>
      <c r="E10" s="1" t="s">
        <v>7</v>
      </c>
      <c r="F10" s="1"/>
      <c r="G10" s="1"/>
      <c r="H10" s="1"/>
      <c r="I10" s="1"/>
      <c r="J10" t="s">
        <v>8</v>
      </c>
    </row>
    <row r="11" spans="1:10" ht="22.5" hidden="1" customHeight="1" x14ac:dyDescent="0.15">
      <c r="A11" t="s">
        <v>9</v>
      </c>
      <c r="E11" s="1" t="s">
        <v>10</v>
      </c>
      <c r="F11" s="1" t="s">
        <v>4</v>
      </c>
      <c r="G11" s="1"/>
      <c r="H11" s="1"/>
      <c r="I11" s="1"/>
      <c r="J11" t="s">
        <v>11</v>
      </c>
    </row>
    <row r="12" spans="1:10" ht="27" customHeight="1" x14ac:dyDescent="0.15">
      <c r="A12" t="s">
        <v>12</v>
      </c>
      <c r="E12" s="1" t="s">
        <v>13</v>
      </c>
      <c r="F12" s="1">
        <v>2023</v>
      </c>
      <c r="G12" s="1"/>
      <c r="H12" s="1"/>
      <c r="I12" s="1"/>
      <c r="J12" t="s">
        <v>14</v>
      </c>
    </row>
    <row r="13" spans="1:10" ht="19.5" hidden="1" customHeight="1" x14ac:dyDescent="0.15">
      <c r="A13" t="s">
        <v>15</v>
      </c>
      <c r="E13" s="1" t="s">
        <v>16</v>
      </c>
      <c r="F13" s="1"/>
      <c r="G13" s="1"/>
      <c r="H13" s="1"/>
      <c r="I13" s="1"/>
      <c r="J13" t="s">
        <v>17</v>
      </c>
    </row>
    <row r="14" spans="1:10" ht="6" customHeight="1" x14ac:dyDescent="0.15">
      <c r="E14" s="1"/>
      <c r="F14" s="1"/>
      <c r="G14" s="1"/>
      <c r="H14" s="1"/>
      <c r="I14" s="1"/>
    </row>
    <row r="15" spans="1:10" ht="19.5" customHeight="1" x14ac:dyDescent="0.15">
      <c r="E15" s="1" t="s">
        <v>18</v>
      </c>
      <c r="F15" s="1" t="s">
        <v>19</v>
      </c>
      <c r="G15" s="1"/>
      <c r="H15" s="1" t="s">
        <v>5</v>
      </c>
      <c r="I15" s="1"/>
    </row>
    <row r="16" spans="1:10" ht="22.5" hidden="1" customHeight="1" x14ac:dyDescent="0.15">
      <c r="E16" s="1" t="s">
        <v>20</v>
      </c>
      <c r="F16" s="1" t="s">
        <v>21</v>
      </c>
      <c r="G16" s="1"/>
      <c r="H16" s="1"/>
      <c r="I16" s="1"/>
      <c r="J16" s="6" t="s">
        <v>22</v>
      </c>
    </row>
    <row r="17" spans="5:10" ht="22.5" hidden="1" customHeight="1" x14ac:dyDescent="0.15">
      <c r="E17" s="1" t="s">
        <v>23</v>
      </c>
      <c r="F17" s="1"/>
      <c r="G17" s="1"/>
      <c r="H17" s="1"/>
      <c r="I17" s="1"/>
      <c r="J17" s="6"/>
    </row>
    <row r="18" spans="5:10" ht="22.5" hidden="1" customHeight="1" x14ac:dyDescent="0.15">
      <c r="E18" s="1"/>
      <c r="F18" s="1" t="str">
        <f>"Первичное "&amp;IF(TEMPLATE_GROUP="P","установление тарифов","предложение по тарифам")</f>
        <v>Первичное предложение по тарифам</v>
      </c>
      <c r="G18" s="1"/>
      <c r="H18" s="1"/>
      <c r="I18" s="1"/>
      <c r="J18" t="s">
        <v>24</v>
      </c>
    </row>
    <row r="19" spans="5:10" ht="19.5" hidden="1" customHeight="1" x14ac:dyDescent="0.15">
      <c r="E19" s="1" t="str">
        <f>"Дата "&amp;IF(TEMPLATE_GROUP="P","документа","подачи заявления")&amp;" об "&amp;IF(TITLE_DATE_PR_CHANGE="","утверждении","изменении")&amp;" тарифов"</f>
        <v>Дата подачи заявления об утверждении тарифов</v>
      </c>
      <c r="F19" s="1" t="s">
        <v>4</v>
      </c>
      <c r="G19" s="1"/>
      <c r="H19" s="1"/>
      <c r="I19" s="1"/>
    </row>
    <row r="20" spans="5:10" ht="19.5" hidden="1" customHeight="1" x14ac:dyDescent="0.15">
      <c r="E20" s="1"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
      <c r="G20" s="1"/>
      <c r="H20" s="1"/>
      <c r="I20" s="1"/>
    </row>
    <row r="21" spans="5:10" ht="22.5" hidden="1" customHeight="1" x14ac:dyDescent="0.15">
      <c r="E21" s="1" t="s">
        <v>25</v>
      </c>
      <c r="F21" s="1"/>
      <c r="G21" s="1"/>
      <c r="H21" s="1"/>
      <c r="I21" s="1"/>
    </row>
    <row r="22" spans="5:10" ht="19.5" hidden="1" customHeight="1" x14ac:dyDescent="0.15">
      <c r="E22" s="1" t="s">
        <v>26</v>
      </c>
      <c r="F22" s="1"/>
      <c r="G22" s="1"/>
      <c r="H22" s="1"/>
      <c r="I22" s="1"/>
    </row>
    <row r="23" spans="5:10" ht="22.5" hidden="1" customHeight="1" x14ac:dyDescent="0.15">
      <c r="E23" s="1"/>
      <c r="F23" s="1" t="str">
        <f>"Изменение "&amp;IF(TEMPLATE_GROUP="P","тарифов","предложения по тарифам")</f>
        <v>Изменение предложения по тарифам</v>
      </c>
      <c r="G23" s="1"/>
      <c r="H23" s="1"/>
      <c r="I23" s="1"/>
      <c r="J23" t="s">
        <v>27</v>
      </c>
    </row>
    <row r="24" spans="5:10" ht="22.5" hidden="1" customHeight="1" x14ac:dyDescent="0.15">
      <c r="E24" s="1" t="s">
        <v>28</v>
      </c>
      <c r="F24" s="1"/>
      <c r="G24" s="1"/>
      <c r="H24" s="1"/>
      <c r="I24" s="1"/>
    </row>
    <row r="25" spans="5:10" ht="19.5" hidden="1" customHeight="1" x14ac:dyDescent="0.15">
      <c r="E25" s="1" t="s">
        <v>29</v>
      </c>
      <c r="F25" s="1"/>
      <c r="G25" s="1"/>
      <c r="H25" s="1"/>
      <c r="I25" s="1"/>
    </row>
    <row r="26" spans="5:10" ht="19.5" hidden="1" customHeight="1" x14ac:dyDescent="0.15">
      <c r="E26" s="1" t="s">
        <v>30</v>
      </c>
      <c r="F26" s="1"/>
      <c r="G26" s="1"/>
      <c r="H26" s="1"/>
      <c r="I26" s="1"/>
    </row>
    <row r="27" spans="5:10" ht="19.5" hidden="1" customHeight="1" x14ac:dyDescent="0.15">
      <c r="E27" s="1" t="s">
        <v>26</v>
      </c>
      <c r="F27" s="1"/>
      <c r="G27" s="1"/>
      <c r="H27" s="1"/>
      <c r="I27" s="1"/>
    </row>
    <row r="28" spans="5:10" ht="6" customHeight="1" x14ac:dyDescent="0.15">
      <c r="E28" s="1"/>
      <c r="F28" s="1"/>
      <c r="G28" s="1"/>
      <c r="H28" s="1"/>
      <c r="I28" s="1"/>
    </row>
    <row r="29" spans="5:10" ht="19.5" customHeight="1" x14ac:dyDescent="0.15">
      <c r="E29" s="1" t="s">
        <v>31</v>
      </c>
      <c r="F29" s="3" t="s">
        <v>32</v>
      </c>
      <c r="G29" s="1"/>
      <c r="H29" s="1"/>
      <c r="I29" s="1"/>
    </row>
    <row r="30" spans="5:10" ht="19.5" hidden="1" customHeight="1" x14ac:dyDescent="0.15">
      <c r="E30" s="1" t="s">
        <v>33</v>
      </c>
      <c r="F30" s="3"/>
      <c r="G30" s="1"/>
      <c r="H30" s="1"/>
      <c r="I30" s="1"/>
    </row>
    <row r="31" spans="5:10" ht="19.5" customHeight="1" x14ac:dyDescent="0.15">
      <c r="E31" s="1" t="s">
        <v>34</v>
      </c>
      <c r="F31" s="3" t="s">
        <v>35</v>
      </c>
      <c r="G31" s="1"/>
      <c r="H31" s="1"/>
      <c r="I31" s="1"/>
    </row>
    <row r="32" spans="5:10" ht="19.5" customHeight="1" x14ac:dyDescent="0.15">
      <c r="E32" s="1" t="s">
        <v>36</v>
      </c>
      <c r="F32" s="3" t="s">
        <v>37</v>
      </c>
      <c r="G32" s="1"/>
      <c r="H32" s="1"/>
      <c r="I32" s="1"/>
    </row>
    <row r="33" spans="1:9" ht="11.25" customHeight="1" x14ac:dyDescent="0.15">
      <c r="E33" s="1"/>
      <c r="F33" s="1"/>
      <c r="G33" s="1"/>
      <c r="H33" s="1"/>
      <c r="I33" s="1"/>
    </row>
    <row r="34" spans="1:9" ht="19.5" customHeight="1" x14ac:dyDescent="0.15">
      <c r="E34" s="1" t="s">
        <v>38</v>
      </c>
      <c r="F34" s="4" t="s">
        <v>39</v>
      </c>
      <c r="G34" s="1"/>
      <c r="H34" s="1"/>
      <c r="I34" s="1"/>
    </row>
    <row r="35" spans="1:9" ht="19.5" customHeight="1" x14ac:dyDescent="0.15">
      <c r="E35" s="1" t="s">
        <v>40</v>
      </c>
      <c r="F35" s="1" t="s">
        <v>41</v>
      </c>
      <c r="G35" s="1"/>
      <c r="H35" s="1"/>
      <c r="I35" s="1"/>
    </row>
    <row r="36" spans="1:9" ht="6" customHeight="1" x14ac:dyDescent="0.15">
      <c r="E36" s="1"/>
      <c r="F36" s="1"/>
      <c r="G36" s="1"/>
      <c r="H36" s="1"/>
      <c r="I36" s="1"/>
    </row>
    <row r="37" spans="1:9" ht="22.5" customHeight="1" x14ac:dyDescent="0.15">
      <c r="E37" s="1" t="s">
        <v>42</v>
      </c>
      <c r="F37" s="4" t="s">
        <v>43</v>
      </c>
      <c r="G37" s="1"/>
      <c r="H37" s="1" t="s">
        <v>5</v>
      </c>
      <c r="I37" s="1"/>
    </row>
    <row r="38" spans="1:9" ht="6" hidden="1" customHeight="1" x14ac:dyDescent="0.15">
      <c r="E38" s="1"/>
      <c r="F38" s="4"/>
      <c r="G38" s="1"/>
      <c r="H38" s="1"/>
      <c r="I38" s="1"/>
    </row>
    <row r="39" spans="1:9" ht="19.5" hidden="1" customHeight="1" x14ac:dyDescent="0.15">
      <c r="A39" t="s">
        <v>9</v>
      </c>
      <c r="E39" s="1"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4" t="s">
        <v>43</v>
      </c>
      <c r="G39" s="1"/>
      <c r="H39" s="1"/>
      <c r="I39" s="1"/>
    </row>
    <row r="40" spans="1:9" ht="6" hidden="1" customHeight="1" x14ac:dyDescent="0.15">
      <c r="E40" s="1"/>
      <c r="F40" s="4"/>
      <c r="G40" s="1"/>
      <c r="H40" s="1"/>
      <c r="I40" s="1"/>
    </row>
    <row r="41" spans="1:9" ht="22.5" hidden="1" customHeight="1" x14ac:dyDescent="0.15">
      <c r="E41" s="1" t="s">
        <v>44</v>
      </c>
      <c r="F41" s="4"/>
      <c r="G41" s="1"/>
      <c r="H41" s="1"/>
      <c r="I41" s="1"/>
    </row>
    <row r="42" spans="1:9" ht="22.5" hidden="1" customHeight="1" x14ac:dyDescent="0.15">
      <c r="E42" s="1" t="s">
        <v>45</v>
      </c>
      <c r="F42" s="4"/>
      <c r="G42" s="1"/>
      <c r="H42" s="1"/>
      <c r="I42" s="1"/>
    </row>
    <row r="43" spans="1:9" ht="6" hidden="1" customHeight="1" x14ac:dyDescent="0.15">
      <c r="E43" s="1"/>
      <c r="F43" s="4"/>
      <c r="G43" s="1"/>
      <c r="H43" s="1"/>
      <c r="I43" s="1"/>
    </row>
    <row r="44" spans="1:9" ht="22.5" hidden="1" customHeight="1" x14ac:dyDescent="0.15">
      <c r="E44" s="1" t="s">
        <v>46</v>
      </c>
      <c r="F44" s="4" t="s">
        <v>43</v>
      </c>
      <c r="G44" s="1"/>
      <c r="H44" s="1"/>
      <c r="I44" s="1"/>
    </row>
    <row r="45" spans="1:9" ht="22.5" hidden="1" customHeight="1" x14ac:dyDescent="0.15">
      <c r="E45" s="1" t="s">
        <v>47</v>
      </c>
      <c r="F45" s="4" t="s">
        <v>43</v>
      </c>
      <c r="G45" s="1"/>
      <c r="H45" s="1"/>
      <c r="I45" s="1"/>
    </row>
    <row r="46" spans="1:9" ht="6" hidden="1" customHeight="1" x14ac:dyDescent="0.15">
      <c r="E46" s="1"/>
      <c r="F46" s="4"/>
      <c r="G46" s="1"/>
      <c r="H46" s="1"/>
      <c r="I46" s="1"/>
    </row>
    <row r="47" spans="1:9" ht="19.5" hidden="1" customHeight="1" x14ac:dyDescent="0.15">
      <c r="E47" s="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4"/>
      <c r="G47" s="1"/>
      <c r="H47" s="1"/>
      <c r="I47" s="1"/>
    </row>
    <row r="48" spans="1:9" ht="6" customHeight="1" x14ac:dyDescent="0.15">
      <c r="E48" s="1"/>
      <c r="F48" s="4"/>
      <c r="G48" s="1"/>
      <c r="H48" s="1"/>
      <c r="I48" s="1"/>
    </row>
    <row r="49" spans="5:9" ht="22.5" customHeight="1" x14ac:dyDescent="0.15">
      <c r="E49" s="1" t="s">
        <v>48</v>
      </c>
      <c r="F49" s="4" t="s">
        <v>43</v>
      </c>
      <c r="G49" s="1"/>
      <c r="H49" s="1"/>
      <c r="I49" s="1"/>
    </row>
    <row r="50" spans="5:9" ht="6" customHeight="1" x14ac:dyDescent="0.15">
      <c r="E50" s="1"/>
      <c r="F50" s="4"/>
      <c r="G50" s="1"/>
      <c r="H50" s="1"/>
      <c r="I50" s="1"/>
    </row>
    <row r="51" spans="5:9" ht="22.5" customHeight="1" x14ac:dyDescent="0.15">
      <c r="E51" s="1" t="s">
        <v>49</v>
      </c>
      <c r="F51" s="4" t="s">
        <v>50</v>
      </c>
      <c r="G51" s="1"/>
      <c r="H51" s="1"/>
      <c r="I51" s="1"/>
    </row>
    <row r="52" spans="5:9" ht="22.5" customHeight="1" x14ac:dyDescent="0.15">
      <c r="E52" s="1" t="s">
        <v>51</v>
      </c>
      <c r="F52" s="4" t="s">
        <v>52</v>
      </c>
      <c r="G52" s="1"/>
      <c r="H52" s="1"/>
      <c r="I52" s="1"/>
    </row>
    <row r="53" spans="5:9" ht="6" customHeight="1" x14ac:dyDescent="0.15">
      <c r="E53" s="1"/>
      <c r="F53" s="1"/>
      <c r="G53" s="1"/>
      <c r="H53" s="1"/>
      <c r="I53" s="1"/>
    </row>
    <row r="54" spans="5:9" ht="22.5" customHeight="1" x14ac:dyDescent="0.15">
      <c r="E54" s="1" t="s">
        <v>53</v>
      </c>
      <c r="F54" s="1" t="s">
        <v>43</v>
      </c>
      <c r="G54" s="1"/>
      <c r="H54" s="1"/>
      <c r="I54" s="1"/>
    </row>
    <row r="55" spans="5:9" ht="6" customHeight="1" x14ac:dyDescent="0.15">
      <c r="E55" s="1"/>
      <c r="F55" s="1"/>
      <c r="G55" s="1"/>
      <c r="H55" s="1"/>
      <c r="I55" s="1"/>
    </row>
    <row r="56" spans="5:9" ht="15" customHeight="1" x14ac:dyDescent="0.15">
      <c r="E56" s="1" t="s">
        <v>54</v>
      </c>
      <c r="F56" s="1" t="s">
        <v>50</v>
      </c>
      <c r="G56" s="1"/>
      <c r="H56" s="1"/>
      <c r="I56" s="1"/>
    </row>
    <row r="57" spans="5:9" ht="70.5" customHeight="1" x14ac:dyDescent="0.15">
      <c r="E57" s="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 t="s">
        <v>50</v>
      </c>
      <c r="G57" s="1"/>
      <c r="H57" s="1"/>
      <c r="I57" s="1"/>
    </row>
    <row r="58" spans="5:9" ht="15" customHeight="1" x14ac:dyDescent="0.15">
      <c r="E58" s="1" t="s">
        <v>55</v>
      </c>
      <c r="F58" s="1" t="s">
        <v>56</v>
      </c>
      <c r="G58" s="1"/>
      <c r="H58" s="1"/>
      <c r="I58" s="1"/>
    </row>
    <row r="59" spans="5:9" ht="6" hidden="1" customHeight="1" x14ac:dyDescent="0.15">
      <c r="E59" s="1"/>
      <c r="F59" s="1"/>
      <c r="G59" s="1"/>
      <c r="H59" s="1"/>
      <c r="I59" s="1"/>
    </row>
    <row r="60" spans="5:9" ht="33.75" hidden="1" customHeight="1" x14ac:dyDescent="0.15">
      <c r="E60" s="1" t="s">
        <v>57</v>
      </c>
      <c r="F60" s="1" t="s">
        <v>50</v>
      </c>
      <c r="G60" s="1"/>
      <c r="H60" s="1" t="s">
        <v>5</v>
      </c>
      <c r="I60" s="1"/>
    </row>
    <row r="61" spans="5:9" ht="6" customHeight="1" x14ac:dyDescent="0.15">
      <c r="E61" s="1"/>
      <c r="F61" s="1"/>
      <c r="G61" s="1"/>
      <c r="H61" s="1"/>
      <c r="I61" s="1"/>
    </row>
    <row r="62" spans="5:9" ht="19.5" customHeight="1" x14ac:dyDescent="0.15">
      <c r="E62" s="1" t="s">
        <v>58</v>
      </c>
      <c r="F62" s="1" t="s">
        <v>59</v>
      </c>
      <c r="G62" s="1"/>
      <c r="H62" s="1"/>
      <c r="I62" s="1"/>
    </row>
    <row r="63" spans="5:9" ht="19.5" customHeight="1" x14ac:dyDescent="0.15">
      <c r="E63" s="1" t="s">
        <v>60</v>
      </c>
      <c r="F63" s="1" t="s">
        <v>4801</v>
      </c>
      <c r="G63" s="1"/>
      <c r="H63" s="1"/>
      <c r="I63" s="1"/>
    </row>
    <row r="64" spans="5:9" ht="35.25" customHeight="1" x14ac:dyDescent="0.15">
      <c r="E64" s="1" t="s">
        <v>62</v>
      </c>
      <c r="F64" s="1"/>
      <c r="G64" s="1"/>
      <c r="H64" s="1"/>
      <c r="I64" s="1"/>
    </row>
    <row r="65" spans="5:9" ht="19.5" customHeight="1" x14ac:dyDescent="0.15">
      <c r="E65" s="1" t="s">
        <v>63</v>
      </c>
      <c r="F65" s="1" t="s">
        <v>61</v>
      </c>
      <c r="G65" s="1"/>
      <c r="H65" s="1"/>
      <c r="I65" s="1"/>
    </row>
    <row r="66" spans="5:9" ht="19.5" customHeight="1" x14ac:dyDescent="0.15">
      <c r="E66" s="1" t="s">
        <v>64</v>
      </c>
      <c r="F66" s="1" t="s">
        <v>65</v>
      </c>
      <c r="G66" s="1"/>
      <c r="H66" s="1"/>
      <c r="I66" s="1"/>
    </row>
    <row r="67" spans="5:9" ht="19.5" customHeight="1" x14ac:dyDescent="0.15">
      <c r="E67" s="1" t="s">
        <v>66</v>
      </c>
      <c r="F67" s="1" t="s">
        <v>67</v>
      </c>
      <c r="G67" s="1"/>
      <c r="H67" s="1"/>
      <c r="I67" s="1"/>
    </row>
    <row r="68" spans="5:9" ht="19.5" customHeight="1" x14ac:dyDescent="0.15">
      <c r="E68" s="1" t="s">
        <v>68</v>
      </c>
      <c r="F68" s="1" t="s">
        <v>69</v>
      </c>
      <c r="G68" s="1"/>
      <c r="H68" s="1"/>
      <c r="I68" s="1"/>
    </row>
    <row r="69" spans="5:9" ht="20.25" customHeight="1" x14ac:dyDescent="0.15">
      <c r="E69" s="1"/>
      <c r="F69" s="1"/>
      <c r="G69" s="1"/>
      <c r="H69" s="1"/>
      <c r="I69" s="1"/>
    </row>
    <row r="70" spans="5:9" ht="19.5" customHeight="1" x14ac:dyDescent="0.15">
      <c r="E70" s="1"/>
      <c r="F70" s="1"/>
      <c r="G70" s="1"/>
      <c r="H70" s="1"/>
      <c r="I70" s="1"/>
    </row>
    <row r="71" spans="5:9" ht="19.5" customHeight="1" x14ac:dyDescent="0.15">
      <c r="E71" s="1"/>
      <c r="F71" s="1"/>
      <c r="G71" s="1"/>
      <c r="H71" s="1"/>
      <c r="I71" s="1"/>
    </row>
    <row r="72" spans="5:9" ht="19.5" customHeight="1" x14ac:dyDescent="0.15">
      <c r="E72" s="1"/>
      <c r="F72" s="1"/>
      <c r="G72" s="1"/>
      <c r="H72" s="1"/>
      <c r="I72" s="1"/>
    </row>
    <row r="73" spans="5:9" ht="19.5" customHeight="1" x14ac:dyDescent="0.15"/>
  </sheetData>
  <sheetProtection formatColumns="0" formatRows="0" insertRows="0" deleteColumns="0" deleteRows="0" sort="0" autoFilter="0"/>
  <mergeCells count="4">
    <mergeCell ref="E5:F5"/>
    <mergeCell ref="J16:J17"/>
    <mergeCell ref="A9:A10"/>
    <mergeCell ref="E2:I2"/>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 ref="F68"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A160"/>
  <sheetViews>
    <sheetView showGridLines="0" topLeftCell="C2" zoomScale="90" workbookViewId="0">
      <selection activeCell="H19" sqref="H19"/>
    </sheetView>
  </sheetViews>
  <sheetFormatPr defaultColWidth="9.140625" defaultRowHeight="14.25" customHeight="1" x14ac:dyDescent="0.15"/>
  <cols>
    <col min="1" max="1" width="8" hidden="1" customWidth="1"/>
    <col min="2" max="2" width="6" hidden="1" customWidth="1"/>
    <col min="3" max="4" width="3.7109375" customWidth="1"/>
    <col min="5" max="5" width="6.28515625" customWidth="1"/>
    <col min="6" max="6" width="2.7109375" hidden="1" customWidth="1"/>
    <col min="7" max="7" width="46.7109375" customWidth="1"/>
    <col min="8" max="8" width="43.140625" customWidth="1"/>
    <col min="9" max="9" width="14.85546875" customWidth="1"/>
    <col min="10" max="10" width="0.28515625" customWidth="1"/>
    <col min="11" max="13" width="9.140625" hidden="1" customWidth="1"/>
    <col min="14" max="14" width="25.7109375" hidden="1" customWidth="1"/>
    <col min="15" max="15" width="14.42578125" hidden="1" customWidth="1"/>
    <col min="16" max="27" width="9.140625" hidden="1" customWidth="1"/>
  </cols>
  <sheetData>
    <row r="1" spans="1:15" ht="5.25" hidden="1" customHeight="1" x14ac:dyDescent="0.15">
      <c r="G1" t="s">
        <v>70</v>
      </c>
      <c r="H1" t="s">
        <v>71</v>
      </c>
      <c r="I1" t="s">
        <v>72</v>
      </c>
      <c r="J1" t="s">
        <v>70</v>
      </c>
    </row>
    <row r="2" spans="1:15" ht="11.25" customHeight="1" x14ac:dyDescent="0.15">
      <c r="C2" s="1"/>
      <c r="D2" s="1"/>
      <c r="E2" s="1"/>
      <c r="F2" s="1"/>
      <c r="G2" s="1"/>
      <c r="H2" s="1"/>
      <c r="I2" s="1"/>
    </row>
    <row r="3" spans="1:15" ht="3" customHeight="1" x14ac:dyDescent="0.15">
      <c r="C3" s="1"/>
      <c r="D3" s="1"/>
      <c r="E3" s="1"/>
      <c r="F3" s="1"/>
      <c r="G3" s="1"/>
      <c r="H3" s="1"/>
      <c r="I3" s="1"/>
    </row>
    <row r="4" spans="1:15" ht="25.5" customHeight="1" x14ac:dyDescent="0.15">
      <c r="C4" s="1"/>
      <c r="D4" s="1"/>
      <c r="E4" s="5" t="str">
        <f>NameTemplatesInListMO</f>
        <v>Перечень муниципальных районов и муниципальных образований (территорий оказания услуг)</v>
      </c>
      <c r="F4" s="5"/>
      <c r="G4" s="5"/>
      <c r="H4" s="5"/>
      <c r="I4" s="5"/>
    </row>
    <row r="5" spans="1:15" ht="3" customHeight="1" x14ac:dyDescent="0.15">
      <c r="C5" s="1"/>
      <c r="D5" s="1"/>
      <c r="E5" s="1"/>
      <c r="F5" s="1"/>
      <c r="G5" s="1"/>
      <c r="H5" s="1"/>
      <c r="I5" s="1"/>
    </row>
    <row r="6" spans="1:15" ht="20.25" hidden="1" customHeight="1" x14ac:dyDescent="0.15">
      <c r="C6" s="1"/>
      <c r="D6" s="1"/>
      <c r="E6" s="1"/>
      <c r="F6" s="1"/>
      <c r="G6" s="1"/>
      <c r="H6" s="1"/>
      <c r="I6" s="1"/>
    </row>
    <row r="7" spans="1:15" ht="25.5" hidden="1" customHeight="1" x14ac:dyDescent="0.15">
      <c r="C7" s="1"/>
      <c r="D7" s="1"/>
      <c r="E7" s="1"/>
      <c r="F7" s="1"/>
      <c r="G7" s="1"/>
      <c r="H7" s="1"/>
      <c r="I7" s="1"/>
    </row>
    <row r="8" spans="1:15" ht="14.25" customHeight="1" x14ac:dyDescent="0.15">
      <c r="C8" s="1"/>
      <c r="D8" s="1"/>
      <c r="E8" s="5" t="s">
        <v>73</v>
      </c>
      <c r="F8" s="5"/>
      <c r="G8" s="5"/>
      <c r="H8" s="5" t="s">
        <v>74</v>
      </c>
      <c r="I8" s="5"/>
    </row>
    <row r="9" spans="1:15" ht="20.25" customHeight="1" x14ac:dyDescent="0.15">
      <c r="C9" s="1"/>
      <c r="D9" s="1"/>
      <c r="E9" s="1" t="s">
        <v>75</v>
      </c>
      <c r="F9" s="1"/>
      <c r="G9" s="1" t="s">
        <v>76</v>
      </c>
      <c r="H9" s="1" t="s">
        <v>76</v>
      </c>
      <c r="I9" s="1" t="s">
        <v>72</v>
      </c>
    </row>
    <row r="10" spans="1:15" ht="11.25" customHeight="1" x14ac:dyDescent="0.15">
      <c r="C10" s="1"/>
      <c r="D10" s="1"/>
      <c r="E10" s="1" t="s">
        <v>77</v>
      </c>
      <c r="F10" s="1"/>
      <c r="G10" s="1" t="s">
        <v>78</v>
      </c>
      <c r="H10" s="1" t="s">
        <v>79</v>
      </c>
      <c r="I10" s="1" t="s">
        <v>80</v>
      </c>
    </row>
    <row r="11" spans="1:15" ht="0.75" customHeight="1" x14ac:dyDescent="0.15">
      <c r="C11" s="1"/>
      <c r="D11" s="1"/>
      <c r="E11" s="1"/>
      <c r="F11" s="1"/>
      <c r="G11" s="1"/>
      <c r="H11" s="1"/>
      <c r="I11" s="1"/>
      <c r="J11" t="s">
        <v>81</v>
      </c>
      <c r="M11" t="s">
        <v>82</v>
      </c>
      <c r="N11" t="s">
        <v>83</v>
      </c>
      <c r="O11" t="s">
        <v>84</v>
      </c>
    </row>
    <row r="12" spans="1:15" ht="14.25" customHeight="1" x14ac:dyDescent="0.15">
      <c r="A12" s="6">
        <v>1</v>
      </c>
      <c r="C12" s="1"/>
      <c r="D12" s="1"/>
      <c r="E12" s="1">
        <f>A12</f>
        <v>1</v>
      </c>
      <c r="F12" s="1" t="s">
        <v>85</v>
      </c>
      <c r="G12" s="1" t="str">
        <f>"Территория "&amp;E12</f>
        <v>Территория 1</v>
      </c>
      <c r="H12" s="1"/>
      <c r="I12" s="3"/>
    </row>
    <row r="13" spans="1:15" ht="15" customHeight="1" x14ac:dyDescent="0.15">
      <c r="A13" s="6"/>
      <c r="B13">
        <v>1</v>
      </c>
      <c r="C13" s="1"/>
      <c r="D13" s="1"/>
      <c r="E13" s="1" t="str">
        <f>A12&amp;"."&amp;B13</f>
        <v>1.1</v>
      </c>
      <c r="F13" s="1" t="s">
        <v>77</v>
      </c>
      <c r="G13" s="1" t="s">
        <v>86</v>
      </c>
      <c r="H13" s="1" t="s">
        <v>86</v>
      </c>
      <c r="I13" s="3" t="s">
        <v>87</v>
      </c>
      <c r="J13" t="e">
        <f ca="1">MERGEVALUE(G13)</f>
        <v>#NAME?</v>
      </c>
      <c r="M13" t="str">
        <f t="array" ref="M13">IF(ISERROR(MATCH(MID(N13,1,250),MID(note_ter,1,250),0)),"n","y")</f>
        <v>n</v>
      </c>
      <c r="O13" t="str">
        <f>H13&amp;"("&amp;I13&amp;")"</f>
        <v>Артемовский городской округ(05705000)</v>
      </c>
    </row>
    <row r="14" spans="1:15" ht="15" customHeight="1" x14ac:dyDescent="0.15">
      <c r="A14" s="6"/>
      <c r="C14" s="1"/>
      <c r="D14" s="1"/>
      <c r="E14" s="1"/>
      <c r="F14" s="1"/>
      <c r="G14" s="1" t="s">
        <v>88</v>
      </c>
      <c r="H14" s="1"/>
      <c r="I14" s="3"/>
    </row>
    <row r="15" spans="1:15" ht="14.25" customHeight="1" x14ac:dyDescent="0.15">
      <c r="A15" s="6" t="s">
        <v>89</v>
      </c>
      <c r="C15" s="1" t="s">
        <v>90</v>
      </c>
      <c r="D15" s="1"/>
      <c r="E15" s="1" t="str">
        <f>A15</f>
        <v>2</v>
      </c>
      <c r="F15" s="1" t="s">
        <v>91</v>
      </c>
      <c r="G15" s="1" t="str">
        <f>"Территория "&amp;E15</f>
        <v>Территория 2</v>
      </c>
      <c r="H15" s="1"/>
      <c r="I15" s="3"/>
    </row>
    <row r="16" spans="1:15" ht="15" customHeight="1" x14ac:dyDescent="0.15">
      <c r="A16" s="6"/>
      <c r="B16">
        <v>1</v>
      </c>
      <c r="C16" s="1"/>
      <c r="D16" s="1" t="s">
        <v>90</v>
      </c>
      <c r="E16" s="1" t="str">
        <f>A15&amp;"."&amp;B16</f>
        <v>2.1</v>
      </c>
      <c r="F16" s="1" t="s">
        <v>78</v>
      </c>
      <c r="G16" s="1" t="s">
        <v>92</v>
      </c>
      <c r="H16" s="1" t="s">
        <v>92</v>
      </c>
      <c r="I16" s="3" t="s">
        <v>93</v>
      </c>
      <c r="J16" t="e">
        <f ca="1">MERGEVALUE(G16)</f>
        <v>#NAME?</v>
      </c>
      <c r="M16" t="str">
        <f t="array" ref="M16">IF(ISERROR(MATCH(MID(N16,1,250),MID(note_ter,1,250),0)),"n","y")</f>
        <v>n</v>
      </c>
      <c r="O16" t="str">
        <f>H16&amp;"("&amp;I16&amp;")"</f>
        <v>Владивостокский городской округ(05701000)</v>
      </c>
    </row>
    <row r="17" spans="1:15" ht="15" customHeight="1" x14ac:dyDescent="0.15">
      <c r="A17" s="6"/>
      <c r="C17" s="1"/>
      <c r="D17" s="1"/>
      <c r="E17" s="1"/>
      <c r="F17" s="1"/>
      <c r="G17" s="1" t="s">
        <v>88</v>
      </c>
      <c r="H17" s="1"/>
      <c r="I17" s="3"/>
    </row>
    <row r="18" spans="1:15" ht="14.25" customHeight="1" x14ac:dyDescent="0.15">
      <c r="A18" s="6" t="s">
        <v>77</v>
      </c>
      <c r="C18" s="1" t="s">
        <v>90</v>
      </c>
      <c r="D18" s="1"/>
      <c r="E18" s="1" t="str">
        <f>A18</f>
        <v>3</v>
      </c>
      <c r="F18" s="1" t="s">
        <v>94</v>
      </c>
      <c r="G18" s="1" t="str">
        <f>"Территория "&amp;E18</f>
        <v>Территория 3</v>
      </c>
      <c r="H18" s="1"/>
      <c r="I18" s="3"/>
    </row>
    <row r="19" spans="1:15" ht="15" customHeight="1" x14ac:dyDescent="0.15">
      <c r="A19" s="6"/>
      <c r="B19">
        <v>1</v>
      </c>
      <c r="C19" s="1"/>
      <c r="D19" s="1" t="s">
        <v>90</v>
      </c>
      <c r="E19" s="1" t="str">
        <f>A18&amp;"."&amp;B19</f>
        <v>3.1</v>
      </c>
      <c r="F19" s="1" t="s">
        <v>79</v>
      </c>
      <c r="G19" s="1" t="s">
        <v>95</v>
      </c>
      <c r="H19" s="1" t="s">
        <v>95</v>
      </c>
      <c r="I19" s="3" t="s">
        <v>96</v>
      </c>
      <c r="J19" t="e">
        <f ca="1">MERGEVALUE(G19)</f>
        <v>#NAME?</v>
      </c>
      <c r="M19" t="str">
        <f t="array" ref="M19">IF(ISERROR(MATCH(MID(N19,1,250),MID(note_ter,1,250),0)),"n","y")</f>
        <v>n</v>
      </c>
      <c r="O19" t="str">
        <f>H19&amp;"("&amp;I19&amp;")"</f>
        <v>Дальнегорский городской округ(05707000)</v>
      </c>
    </row>
    <row r="20" spans="1:15" ht="15" customHeight="1" x14ac:dyDescent="0.15">
      <c r="A20" s="6"/>
      <c r="C20" s="1"/>
      <c r="D20" s="1"/>
      <c r="E20" s="1"/>
      <c r="F20" s="1"/>
      <c r="G20" s="1" t="s">
        <v>88</v>
      </c>
      <c r="H20" s="1"/>
      <c r="I20" s="3"/>
    </row>
    <row r="21" spans="1:15" ht="14.25" customHeight="1" x14ac:dyDescent="0.15">
      <c r="A21" s="6" t="s">
        <v>78</v>
      </c>
      <c r="C21" s="1" t="s">
        <v>90</v>
      </c>
      <c r="D21" s="1"/>
      <c r="E21" s="1" t="str">
        <f>A21</f>
        <v>4</v>
      </c>
      <c r="F21" s="1" t="s">
        <v>97</v>
      </c>
      <c r="G21" s="1" t="str">
        <f>"Территория "&amp;E21</f>
        <v>Территория 4</v>
      </c>
      <c r="H21" s="1"/>
      <c r="I21" s="3"/>
    </row>
    <row r="22" spans="1:15" ht="15" customHeight="1" x14ac:dyDescent="0.15">
      <c r="A22" s="6"/>
      <c r="B22">
        <v>1</v>
      </c>
      <c r="C22" s="1"/>
      <c r="D22" s="1" t="s">
        <v>90</v>
      </c>
      <c r="E22" s="1" t="str">
        <f>A21&amp;"."&amp;B22</f>
        <v>4.1</v>
      </c>
      <c r="F22" s="1" t="s">
        <v>80</v>
      </c>
      <c r="G22" s="1" t="s">
        <v>98</v>
      </c>
      <c r="H22" s="1" t="s">
        <v>98</v>
      </c>
      <c r="I22" s="3" t="s">
        <v>99</v>
      </c>
      <c r="J22" t="e">
        <f ca="1">MERGEVALUE(G22)</f>
        <v>#NAME?</v>
      </c>
      <c r="M22" t="str">
        <f t="array" ref="M22">IF(ISERROR(MATCH(MID(N22,1,250),MID(note_ter,1,250),0)),"n","y")</f>
        <v>n</v>
      </c>
      <c r="O22" t="str">
        <f>H22&amp;"("&amp;I22&amp;")"</f>
        <v>Дальнереченский городской округ(05708000)</v>
      </c>
    </row>
    <row r="23" spans="1:15" ht="15" customHeight="1" x14ac:dyDescent="0.15">
      <c r="A23" s="6"/>
      <c r="C23" s="1"/>
      <c r="D23" s="1"/>
      <c r="E23" s="1"/>
      <c r="F23" s="1"/>
      <c r="G23" s="1" t="s">
        <v>88</v>
      </c>
      <c r="H23" s="1"/>
      <c r="I23" s="3"/>
    </row>
    <row r="24" spans="1:15" ht="14.25" customHeight="1" x14ac:dyDescent="0.15">
      <c r="A24" s="6" t="s">
        <v>100</v>
      </c>
      <c r="C24" s="1" t="s">
        <v>90</v>
      </c>
      <c r="D24" s="1"/>
      <c r="E24" s="1" t="str">
        <f>A24</f>
        <v>5</v>
      </c>
      <c r="F24" s="1" t="s">
        <v>101</v>
      </c>
      <c r="G24" s="1" t="str">
        <f>"Территория "&amp;E24</f>
        <v>Территория 5</v>
      </c>
      <c r="H24" s="1"/>
      <c r="I24" s="3"/>
    </row>
    <row r="25" spans="1:15" ht="15" customHeight="1" x14ac:dyDescent="0.15">
      <c r="A25" s="6"/>
      <c r="B25">
        <v>1</v>
      </c>
      <c r="C25" s="1"/>
      <c r="D25" s="1" t="s">
        <v>90</v>
      </c>
      <c r="E25" s="1" t="str">
        <f>A24&amp;"."&amp;B25</f>
        <v>5.1</v>
      </c>
      <c r="F25" s="1" t="s">
        <v>102</v>
      </c>
      <c r="G25" s="1" t="s">
        <v>103</v>
      </c>
      <c r="H25" s="1" t="s">
        <v>104</v>
      </c>
      <c r="I25" s="3" t="s">
        <v>105</v>
      </c>
      <c r="J25" t="e">
        <f t="shared" ref="J25:J30" ca="1" si="0">MERGEVALUE(G25)</f>
        <v>#NAME?</v>
      </c>
      <c r="M25" t="str">
        <f t="array" ref="M25">IF(ISERROR(MATCH(MID(N25,1,250),MID(note_ter,1,250),0)),"n","y")</f>
        <v>n</v>
      </c>
      <c r="O25" t="str">
        <f t="shared" ref="O25:O30" si="1">H25&amp;"("&amp;I25&amp;")"</f>
        <v>Веденкинское сельское поселение(05607408)</v>
      </c>
    </row>
    <row r="26" spans="1:15" ht="15" customHeight="1" x14ac:dyDescent="0.15">
      <c r="A26" s="6"/>
      <c r="B26" t="s">
        <v>89</v>
      </c>
      <c r="C26" s="1"/>
      <c r="D26" s="1" t="s">
        <v>90</v>
      </c>
      <c r="E26" s="1" t="str">
        <f>A24&amp;"."&amp;B26</f>
        <v>5.2</v>
      </c>
      <c r="F26" s="1" t="s">
        <v>106</v>
      </c>
      <c r="G26" s="1" t="s">
        <v>103</v>
      </c>
      <c r="H26" s="1" t="s">
        <v>107</v>
      </c>
      <c r="I26" s="3" t="s">
        <v>108</v>
      </c>
      <c r="J26" t="e">
        <f t="shared" ca="1" si="0"/>
        <v>#NAME?</v>
      </c>
      <c r="M26" t="str">
        <f t="array" ref="M26">IF(ISERROR(MATCH(MID(N26,1,250),MID(note_ter,1,250),0)),"n","y")</f>
        <v>n</v>
      </c>
      <c r="O26" t="str">
        <f t="shared" si="1"/>
        <v>Малиновское сельское поселение(05607413)</v>
      </c>
    </row>
    <row r="27" spans="1:15" ht="15" customHeight="1" x14ac:dyDescent="0.15">
      <c r="A27" s="6"/>
      <c r="B27" t="s">
        <v>77</v>
      </c>
      <c r="C27" s="1"/>
      <c r="D27" s="1" t="s">
        <v>90</v>
      </c>
      <c r="E27" s="1" t="str">
        <f>A24&amp;"."&amp;B27</f>
        <v>5.3</v>
      </c>
      <c r="F27" s="1" t="s">
        <v>109</v>
      </c>
      <c r="G27" s="1" t="s">
        <v>103</v>
      </c>
      <c r="H27" s="1" t="s">
        <v>110</v>
      </c>
      <c r="I27" s="3" t="s">
        <v>111</v>
      </c>
      <c r="J27" t="e">
        <f t="shared" ca="1" si="0"/>
        <v>#NAME?</v>
      </c>
      <c r="M27" t="str">
        <f t="array" ref="M27">IF(ISERROR(MATCH(MID(N27,1,250),MID(note_ter,1,250),0)),"n","y")</f>
        <v>n</v>
      </c>
      <c r="O27" t="str">
        <f t="shared" si="1"/>
        <v>Ореховское сельское поселение(05607422)</v>
      </c>
    </row>
    <row r="28" spans="1:15" ht="15" customHeight="1" x14ac:dyDescent="0.15">
      <c r="A28" s="6"/>
      <c r="B28" t="s">
        <v>78</v>
      </c>
      <c r="C28" s="1"/>
      <c r="D28" s="1" t="s">
        <v>90</v>
      </c>
      <c r="E28" s="1" t="str">
        <f>A24&amp;"."&amp;B28</f>
        <v>5.4</v>
      </c>
      <c r="F28" s="1" t="s">
        <v>112</v>
      </c>
      <c r="G28" s="1" t="s">
        <v>103</v>
      </c>
      <c r="H28" s="1" t="s">
        <v>113</v>
      </c>
      <c r="I28" s="3" t="s">
        <v>114</v>
      </c>
      <c r="J28" t="e">
        <f t="shared" ca="1" si="0"/>
        <v>#NAME?</v>
      </c>
      <c r="M28" t="str">
        <f t="array" ref="M28">IF(ISERROR(MATCH(MID(N28,1,250),MID(note_ter,1,250),0)),"n","y")</f>
        <v>n</v>
      </c>
      <c r="O28" t="str">
        <f t="shared" si="1"/>
        <v>Ракитненское сельское поселение(05607425)</v>
      </c>
    </row>
    <row r="29" spans="1:15" ht="15" customHeight="1" x14ac:dyDescent="0.15">
      <c r="A29" s="6"/>
      <c r="B29" t="s">
        <v>100</v>
      </c>
      <c r="C29" s="1"/>
      <c r="D29" s="1" t="s">
        <v>90</v>
      </c>
      <c r="E29" s="1" t="str">
        <f>A24&amp;"."&amp;B29</f>
        <v>5.5</v>
      </c>
      <c r="F29" s="1" t="s">
        <v>115</v>
      </c>
      <c r="G29" s="1" t="s">
        <v>103</v>
      </c>
      <c r="H29" s="1" t="s">
        <v>116</v>
      </c>
      <c r="I29" s="3" t="s">
        <v>117</v>
      </c>
      <c r="J29" t="e">
        <f t="shared" ca="1" si="0"/>
        <v>#NAME?</v>
      </c>
      <c r="M29" t="str">
        <f t="array" ref="M29">IF(ISERROR(MATCH(MID(N29,1,250),MID(note_ter,1,250),0)),"n","y")</f>
        <v>n</v>
      </c>
      <c r="O29" t="str">
        <f t="shared" si="1"/>
        <v>Рождественское сельское поселение(05607428)</v>
      </c>
    </row>
    <row r="30" spans="1:15" ht="15" customHeight="1" x14ac:dyDescent="0.15">
      <c r="A30" s="6"/>
      <c r="B30" t="s">
        <v>79</v>
      </c>
      <c r="C30" s="1"/>
      <c r="D30" s="1" t="s">
        <v>90</v>
      </c>
      <c r="E30" s="1" t="str">
        <f>A24&amp;"."&amp;B30</f>
        <v>5.6</v>
      </c>
      <c r="F30" s="1" t="s">
        <v>118</v>
      </c>
      <c r="G30" s="1" t="s">
        <v>103</v>
      </c>
      <c r="H30" s="1" t="s">
        <v>119</v>
      </c>
      <c r="I30" s="3" t="s">
        <v>120</v>
      </c>
      <c r="J30" t="e">
        <f t="shared" ca="1" si="0"/>
        <v>#NAME?</v>
      </c>
      <c r="M30" t="str">
        <f t="array" ref="M30">IF(ISERROR(MATCH(MID(N30,1,250),MID(note_ter,1,250),0)),"n","y")</f>
        <v>n</v>
      </c>
      <c r="O30" t="str">
        <f t="shared" si="1"/>
        <v>Сальское сельское поселение(05607431)</v>
      </c>
    </row>
    <row r="31" spans="1:15" ht="15" customHeight="1" x14ac:dyDescent="0.15">
      <c r="A31" s="6"/>
      <c r="C31" s="1"/>
      <c r="D31" s="1"/>
      <c r="E31" s="1"/>
      <c r="F31" s="1"/>
      <c r="G31" s="1" t="s">
        <v>88</v>
      </c>
      <c r="H31" s="1"/>
      <c r="I31" s="3"/>
    </row>
    <row r="32" spans="1:15" ht="14.25" customHeight="1" x14ac:dyDescent="0.15">
      <c r="A32" s="6" t="s">
        <v>79</v>
      </c>
      <c r="C32" s="1" t="s">
        <v>90</v>
      </c>
      <c r="D32" s="1"/>
      <c r="E32" s="1" t="str">
        <f>A32</f>
        <v>6</v>
      </c>
      <c r="F32" s="1" t="s">
        <v>121</v>
      </c>
      <c r="G32" s="1" t="str">
        <f>"Территория "&amp;E32</f>
        <v>Территория 6</v>
      </c>
      <c r="H32" s="1"/>
      <c r="I32" s="3"/>
    </row>
    <row r="33" spans="1:15" ht="15" customHeight="1" x14ac:dyDescent="0.15">
      <c r="A33" s="6"/>
      <c r="B33">
        <v>1</v>
      </c>
      <c r="C33" s="1"/>
      <c r="D33" s="1" t="s">
        <v>90</v>
      </c>
      <c r="E33" s="1" t="str">
        <f>A32&amp;"."&amp;B33</f>
        <v>6.1</v>
      </c>
      <c r="F33" s="1" t="s">
        <v>122</v>
      </c>
      <c r="G33" s="1" t="s">
        <v>123</v>
      </c>
      <c r="H33" s="1" t="s">
        <v>123</v>
      </c>
      <c r="I33" s="3" t="s">
        <v>124</v>
      </c>
      <c r="J33" t="e">
        <f ca="1">MERGEVALUE(G33)</f>
        <v>#NAME?</v>
      </c>
      <c r="M33" t="str">
        <f t="array" ref="M33">IF(ISERROR(MATCH(MID(N33,1,250),MID(note_ter,1,250),0)),"n","y")</f>
        <v>n</v>
      </c>
      <c r="O33" t="str">
        <f>H33&amp;"("&amp;I33&amp;")"</f>
        <v>Лесозаводский городской округ(05711000)</v>
      </c>
    </row>
    <row r="34" spans="1:15" ht="15" customHeight="1" x14ac:dyDescent="0.15">
      <c r="A34" s="6"/>
      <c r="C34" s="1"/>
      <c r="D34" s="1"/>
      <c r="E34" s="1"/>
      <c r="F34" s="1"/>
      <c r="G34" s="1" t="s">
        <v>88</v>
      </c>
      <c r="H34" s="1"/>
      <c r="I34" s="3"/>
    </row>
    <row r="35" spans="1:15" ht="14.25" customHeight="1" x14ac:dyDescent="0.15">
      <c r="A35" s="6" t="s">
        <v>80</v>
      </c>
      <c r="C35" s="1" t="s">
        <v>90</v>
      </c>
      <c r="D35" s="1"/>
      <c r="E35" s="1" t="str">
        <f>A35</f>
        <v>7</v>
      </c>
      <c r="F35" s="1" t="s">
        <v>125</v>
      </c>
      <c r="G35" s="1" t="str">
        <f>"Территория "&amp;E35</f>
        <v>Территория 7</v>
      </c>
      <c r="H35" s="1"/>
      <c r="I35" s="3"/>
    </row>
    <row r="36" spans="1:15" ht="15" customHeight="1" x14ac:dyDescent="0.15">
      <c r="A36" s="6"/>
      <c r="B36">
        <v>1</v>
      </c>
      <c r="C36" s="1"/>
      <c r="D36" s="1" t="s">
        <v>90</v>
      </c>
      <c r="E36" s="1" t="str">
        <f>A35&amp;"."&amp;B36</f>
        <v>7.1</v>
      </c>
      <c r="F36" s="1" t="s">
        <v>126</v>
      </c>
      <c r="G36" s="1" t="s">
        <v>127</v>
      </c>
      <c r="H36" s="1" t="s">
        <v>127</v>
      </c>
      <c r="I36" s="3" t="s">
        <v>128</v>
      </c>
      <c r="J36" t="e">
        <f ca="1">MERGEVALUE(G36)</f>
        <v>#NAME?</v>
      </c>
      <c r="M36" t="str">
        <f t="array" ref="M36">IF(ISERROR(MATCH(MID(N36,1,250),MID(note_ter,1,250),0)),"n","y")</f>
        <v>n</v>
      </c>
      <c r="O36" t="str">
        <f>H36&amp;"("&amp;I36&amp;")"</f>
        <v>Находкинский городской округ(05714000)</v>
      </c>
    </row>
    <row r="37" spans="1:15" ht="15" customHeight="1" x14ac:dyDescent="0.15">
      <c r="A37" s="6"/>
      <c r="C37" s="1"/>
      <c r="D37" s="1"/>
      <c r="E37" s="1"/>
      <c r="F37" s="1"/>
      <c r="G37" s="1" t="s">
        <v>88</v>
      </c>
      <c r="H37" s="1"/>
      <c r="I37" s="3"/>
    </row>
    <row r="38" spans="1:15" ht="14.25" customHeight="1" x14ac:dyDescent="0.15">
      <c r="A38" s="6" t="s">
        <v>102</v>
      </c>
      <c r="C38" s="1" t="s">
        <v>90</v>
      </c>
      <c r="D38" s="1"/>
      <c r="E38" s="1" t="str">
        <f>A38</f>
        <v>8</v>
      </c>
      <c r="F38" s="1" t="s">
        <v>129</v>
      </c>
      <c r="G38" s="1" t="str">
        <f>"Территория "&amp;E38</f>
        <v>Территория 8</v>
      </c>
      <c r="H38" s="1"/>
      <c r="I38" s="3"/>
    </row>
    <row r="39" spans="1:15" ht="15" customHeight="1" x14ac:dyDescent="0.15">
      <c r="A39" s="6"/>
      <c r="B39">
        <v>1</v>
      </c>
      <c r="C39" s="1"/>
      <c r="D39" s="1" t="s">
        <v>90</v>
      </c>
      <c r="E39" s="1" t="str">
        <f>A38&amp;"."&amp;B39</f>
        <v>8.1</v>
      </c>
      <c r="F39" s="1" t="s">
        <v>130</v>
      </c>
      <c r="G39" s="1" t="s">
        <v>131</v>
      </c>
      <c r="H39" s="1" t="s">
        <v>131</v>
      </c>
      <c r="I39" s="3" t="s">
        <v>132</v>
      </c>
      <c r="J39" t="e">
        <f ca="1">MERGEVALUE(G39)</f>
        <v>#NAME?</v>
      </c>
      <c r="M39" t="str">
        <f t="array" ref="M39">IF(ISERROR(MATCH(MID(N39,1,250),MID(note_ter,1,250),0)),"n","y")</f>
        <v>n</v>
      </c>
      <c r="O39" t="str">
        <f>H39&amp;"("&amp;I39&amp;")"</f>
        <v>Партизанский городской округ(05717000)</v>
      </c>
    </row>
    <row r="40" spans="1:15" ht="15" customHeight="1" x14ac:dyDescent="0.15">
      <c r="A40" s="6"/>
      <c r="C40" s="1"/>
      <c r="D40" s="1"/>
      <c r="E40" s="1"/>
      <c r="F40" s="1"/>
      <c r="G40" s="1" t="s">
        <v>88</v>
      </c>
      <c r="H40" s="1"/>
      <c r="I40" s="3"/>
    </row>
    <row r="41" spans="1:15" ht="14.25" customHeight="1" x14ac:dyDescent="0.15">
      <c r="A41" s="6" t="s">
        <v>133</v>
      </c>
      <c r="C41" s="1" t="s">
        <v>90</v>
      </c>
      <c r="D41" s="1"/>
      <c r="E41" s="1" t="str">
        <f>A41</f>
        <v>9</v>
      </c>
      <c r="F41" s="1" t="s">
        <v>134</v>
      </c>
      <c r="G41" s="1" t="str">
        <f>"Территория "&amp;E41</f>
        <v>Территория 9</v>
      </c>
      <c r="H41" s="1"/>
      <c r="I41" s="3"/>
    </row>
    <row r="42" spans="1:15" ht="15" customHeight="1" x14ac:dyDescent="0.15">
      <c r="A42" s="6"/>
      <c r="B42">
        <v>1</v>
      </c>
      <c r="C42" s="1"/>
      <c r="D42" s="1" t="s">
        <v>90</v>
      </c>
      <c r="E42" s="1" t="str">
        <f>A41&amp;"."&amp;B42</f>
        <v>9.1</v>
      </c>
      <c r="F42" s="1" t="s">
        <v>100</v>
      </c>
      <c r="G42" s="1" t="s">
        <v>135</v>
      </c>
      <c r="H42" s="1" t="s">
        <v>135</v>
      </c>
      <c r="I42" s="3" t="s">
        <v>136</v>
      </c>
      <c r="J42" t="e">
        <f ca="1">MERGEVALUE(G42)</f>
        <v>#NAME?</v>
      </c>
      <c r="M42" t="str">
        <f t="array" ref="M42">IF(ISERROR(MATCH(MID(N42,1,250),MID(note_ter,1,250),0)),"n","y")</f>
        <v>n</v>
      </c>
      <c r="O42" t="str">
        <f>H42&amp;"("&amp;I42&amp;")"</f>
        <v>Городской округ Спасск-Дальний(05720000)</v>
      </c>
    </row>
    <row r="43" spans="1:15" ht="15" customHeight="1" x14ac:dyDescent="0.15">
      <c r="A43" s="6"/>
      <c r="C43" s="1"/>
      <c r="D43" s="1"/>
      <c r="E43" s="1"/>
      <c r="F43" s="1"/>
      <c r="G43" s="1" t="s">
        <v>88</v>
      </c>
      <c r="H43" s="1"/>
      <c r="I43" s="3"/>
    </row>
    <row r="44" spans="1:15" ht="14.25" customHeight="1" x14ac:dyDescent="0.15">
      <c r="A44" s="6" t="s">
        <v>106</v>
      </c>
      <c r="C44" s="1" t="s">
        <v>90</v>
      </c>
      <c r="D44" s="1"/>
      <c r="E44" s="1" t="str">
        <f>A44</f>
        <v>10</v>
      </c>
      <c r="F44" s="1" t="s">
        <v>137</v>
      </c>
      <c r="G44" s="1" t="str">
        <f>"Территория "&amp;E44</f>
        <v>Территория 10</v>
      </c>
      <c r="H44" s="1"/>
      <c r="I44" s="3"/>
    </row>
    <row r="45" spans="1:15" ht="15" customHeight="1" x14ac:dyDescent="0.15">
      <c r="A45" s="6"/>
      <c r="B45">
        <v>1</v>
      </c>
      <c r="C45" s="1"/>
      <c r="D45" s="1" t="s">
        <v>90</v>
      </c>
      <c r="E45" s="1" t="str">
        <f>A44&amp;"."&amp;B45</f>
        <v>10.1</v>
      </c>
      <c r="F45" s="1" t="s">
        <v>138</v>
      </c>
      <c r="G45" s="1" t="s">
        <v>139</v>
      </c>
      <c r="H45" s="1" t="s">
        <v>140</v>
      </c>
      <c r="I45" s="3" t="s">
        <v>141</v>
      </c>
      <c r="J45" t="e">
        <f t="shared" ref="J45:J52" ca="1" si="2">MERGEVALUE(G45)</f>
        <v>#NAME?</v>
      </c>
      <c r="M45" t="str">
        <f t="array" ref="M45">IF(ISERROR(MATCH(MID(N45,1,250),MID(note_ter,1,250),0)),"n","y")</f>
        <v>n</v>
      </c>
      <c r="O45" t="str">
        <f t="shared" ref="O45:O52" si="3">H45&amp;"("&amp;I45&amp;")"</f>
        <v>Александровское сельское поселение(05637402)</v>
      </c>
    </row>
    <row r="46" spans="1:15" ht="15" customHeight="1" x14ac:dyDescent="0.15">
      <c r="A46" s="6"/>
      <c r="B46" t="s">
        <v>89</v>
      </c>
      <c r="C46" s="1"/>
      <c r="D46" s="1" t="s">
        <v>90</v>
      </c>
      <c r="E46" s="1" t="str">
        <f>A44&amp;"."&amp;B46</f>
        <v>10.2</v>
      </c>
      <c r="F46" s="1" t="s">
        <v>142</v>
      </c>
      <c r="G46" s="1" t="s">
        <v>139</v>
      </c>
      <c r="H46" s="1" t="s">
        <v>143</v>
      </c>
      <c r="I46" s="3" t="s">
        <v>144</v>
      </c>
      <c r="J46" t="e">
        <f t="shared" ca="1" si="2"/>
        <v>#NAME?</v>
      </c>
      <c r="M46" t="str">
        <f t="array" ref="M46">IF(ISERROR(MATCH(MID(N46,1,250),MID(note_ter,1,250),0)),"n","y")</f>
        <v>n</v>
      </c>
      <c r="O46" t="str">
        <f t="shared" si="3"/>
        <v>Дубовское сельское поселение(05637419)</v>
      </c>
    </row>
    <row r="47" spans="1:15" ht="15" customHeight="1" x14ac:dyDescent="0.15">
      <c r="A47" s="6"/>
      <c r="B47" t="s">
        <v>77</v>
      </c>
      <c r="C47" s="1"/>
      <c r="D47" s="1" t="s">
        <v>90</v>
      </c>
      <c r="E47" s="1" t="str">
        <f>A44&amp;"."&amp;B47</f>
        <v>10.3</v>
      </c>
      <c r="F47" s="1" t="s">
        <v>145</v>
      </c>
      <c r="G47" s="1" t="s">
        <v>139</v>
      </c>
      <c r="H47" s="1" t="s">
        <v>146</v>
      </c>
      <c r="I47" s="3" t="s">
        <v>147</v>
      </c>
      <c r="J47" t="e">
        <f t="shared" ca="1" si="2"/>
        <v>#NAME?</v>
      </c>
      <c r="M47" t="str">
        <f t="array" ref="M47">IF(ISERROR(MATCH(MID(N47,1,250),MID(note_ter,1,250),0)),"n","y")</f>
        <v>n</v>
      </c>
      <c r="O47" t="str">
        <f t="shared" si="3"/>
        <v>Духовское сельское поселение(05637422)</v>
      </c>
    </row>
    <row r="48" spans="1:15" ht="15" customHeight="1" x14ac:dyDescent="0.15">
      <c r="A48" s="6"/>
      <c r="B48" t="s">
        <v>78</v>
      </c>
      <c r="C48" s="1"/>
      <c r="D48" s="1" t="s">
        <v>90</v>
      </c>
      <c r="E48" s="1" t="str">
        <f>A44&amp;"."&amp;B48</f>
        <v>10.4</v>
      </c>
      <c r="F48" s="1" t="s">
        <v>148</v>
      </c>
      <c r="G48" s="1" t="s">
        <v>139</v>
      </c>
      <c r="H48" s="1" t="s">
        <v>149</v>
      </c>
      <c r="I48" s="3" t="s">
        <v>150</v>
      </c>
      <c r="J48" t="e">
        <f t="shared" ca="1" si="2"/>
        <v>#NAME?</v>
      </c>
      <c r="M48" t="str">
        <f t="array" ref="M48">IF(ISERROR(MATCH(MID(N48,1,250),MID(note_ter,1,250),0)),"n","y")</f>
        <v>n</v>
      </c>
      <c r="O48" t="str">
        <f t="shared" si="3"/>
        <v>Краснокутское сельское поселение(05637424)</v>
      </c>
    </row>
    <row r="49" spans="1:15" ht="15" customHeight="1" x14ac:dyDescent="0.15">
      <c r="A49" s="6"/>
      <c r="B49" t="s">
        <v>100</v>
      </c>
      <c r="C49" s="1"/>
      <c r="D49" s="1" t="s">
        <v>90</v>
      </c>
      <c r="E49" s="1" t="str">
        <f>A44&amp;"."&amp;B49</f>
        <v>10.5</v>
      </c>
      <c r="F49" s="1" t="s">
        <v>151</v>
      </c>
      <c r="G49" s="1" t="s">
        <v>139</v>
      </c>
      <c r="H49" s="1" t="s">
        <v>152</v>
      </c>
      <c r="I49" s="3" t="s">
        <v>153</v>
      </c>
      <c r="J49" t="e">
        <f t="shared" ca="1" si="2"/>
        <v>#NAME?</v>
      </c>
      <c r="M49" t="str">
        <f t="array" ref="M49">IF(ISERROR(MATCH(MID(N49,1,250),MID(note_ter,1,250),0)),"n","y")</f>
        <v>n</v>
      </c>
      <c r="O49" t="str">
        <f t="shared" si="3"/>
        <v>Прохорское сельское поселение(05637434)</v>
      </c>
    </row>
    <row r="50" spans="1:15" ht="15" customHeight="1" x14ac:dyDescent="0.15">
      <c r="A50" s="6"/>
      <c r="B50" t="s">
        <v>79</v>
      </c>
      <c r="C50" s="1"/>
      <c r="D50" s="1" t="s">
        <v>90</v>
      </c>
      <c r="E50" s="1" t="str">
        <f>A44&amp;"."&amp;B50</f>
        <v>10.6</v>
      </c>
      <c r="F50" s="1" t="s">
        <v>154</v>
      </c>
      <c r="G50" s="1" t="s">
        <v>139</v>
      </c>
      <c r="H50" s="1" t="s">
        <v>155</v>
      </c>
      <c r="I50" s="3" t="s">
        <v>156</v>
      </c>
      <c r="J50" t="e">
        <f t="shared" ca="1" si="2"/>
        <v>#NAME?</v>
      </c>
      <c r="M50" t="str">
        <f t="array" ref="M50">IF(ISERROR(MATCH(MID(N50,1,250),MID(note_ter,1,250),0)),"n","y")</f>
        <v>n</v>
      </c>
      <c r="O50" t="str">
        <f t="shared" si="3"/>
        <v>Спасское сельское поселение(05637440)</v>
      </c>
    </row>
    <row r="51" spans="1:15" ht="15" customHeight="1" x14ac:dyDescent="0.15">
      <c r="A51" s="6"/>
      <c r="B51" t="s">
        <v>80</v>
      </c>
      <c r="C51" s="1"/>
      <c r="D51" s="1" t="s">
        <v>90</v>
      </c>
      <c r="E51" s="1" t="str">
        <f>A44&amp;"."&amp;B51</f>
        <v>10.7</v>
      </c>
      <c r="F51" s="1" t="s">
        <v>157</v>
      </c>
      <c r="G51" s="1" t="s">
        <v>139</v>
      </c>
      <c r="H51" s="1" t="s">
        <v>158</v>
      </c>
      <c r="I51" s="3" t="s">
        <v>159</v>
      </c>
      <c r="J51" t="e">
        <f t="shared" ca="1" si="2"/>
        <v>#NAME?</v>
      </c>
      <c r="M51" t="str">
        <f t="array" ref="M51">IF(ISERROR(MATCH(MID(N51,1,250),MID(note_ter,1,250),0)),"n","y")</f>
        <v>n</v>
      </c>
      <c r="O51" t="str">
        <f t="shared" si="3"/>
        <v>Хвалынское сельское поселение(05637443)</v>
      </c>
    </row>
    <row r="52" spans="1:15" ht="15" customHeight="1" x14ac:dyDescent="0.15">
      <c r="A52" s="6"/>
      <c r="B52" t="s">
        <v>102</v>
      </c>
      <c r="C52" s="1"/>
      <c r="D52" s="1" t="s">
        <v>90</v>
      </c>
      <c r="E52" s="1" t="str">
        <f>A44&amp;"."&amp;B52</f>
        <v>10.8</v>
      </c>
      <c r="F52" s="1" t="s">
        <v>160</v>
      </c>
      <c r="G52" s="1" t="s">
        <v>139</v>
      </c>
      <c r="H52" s="1" t="s">
        <v>161</v>
      </c>
      <c r="I52" s="3" t="s">
        <v>162</v>
      </c>
      <c r="J52" t="e">
        <f t="shared" ca="1" si="2"/>
        <v>#NAME?</v>
      </c>
      <c r="M52" t="str">
        <f t="array" ref="M52">IF(ISERROR(MATCH(MID(N52,1,250),MID(note_ter,1,250),0)),"n","y")</f>
        <v>n</v>
      </c>
      <c r="O52" t="str">
        <f t="shared" si="3"/>
        <v>Чкаловское сельское поселение(05637446)</v>
      </c>
    </row>
    <row r="53" spans="1:15" ht="15" customHeight="1" x14ac:dyDescent="0.15">
      <c r="A53" s="6"/>
      <c r="C53" s="1"/>
      <c r="D53" s="1"/>
      <c r="E53" s="1"/>
      <c r="F53" s="1"/>
      <c r="G53" s="1" t="s">
        <v>88</v>
      </c>
      <c r="H53" s="1"/>
      <c r="I53" s="3"/>
    </row>
    <row r="54" spans="1:15" ht="14.25" customHeight="1" x14ac:dyDescent="0.15">
      <c r="A54" s="6" t="s">
        <v>163</v>
      </c>
      <c r="C54" s="1" t="s">
        <v>90</v>
      </c>
      <c r="D54" s="1"/>
      <c r="E54" s="1" t="str">
        <f>A54</f>
        <v>11</v>
      </c>
      <c r="F54" s="1" t="s">
        <v>164</v>
      </c>
      <c r="G54" s="1" t="str">
        <f>"Территория "&amp;E54</f>
        <v>Территория 11</v>
      </c>
      <c r="H54" s="1"/>
      <c r="I54" s="3"/>
    </row>
    <row r="55" spans="1:15" ht="15" customHeight="1" x14ac:dyDescent="0.15">
      <c r="A55" s="6"/>
      <c r="B55">
        <v>1</v>
      </c>
      <c r="C55" s="1"/>
      <c r="D55" s="1" t="s">
        <v>90</v>
      </c>
      <c r="E55" s="1" t="str">
        <f>A54&amp;"."&amp;B55</f>
        <v>11.1</v>
      </c>
      <c r="F55" s="1" t="s">
        <v>165</v>
      </c>
      <c r="G55" s="1" t="s">
        <v>166</v>
      </c>
      <c r="H55" s="1" t="s">
        <v>166</v>
      </c>
      <c r="I55" s="3" t="s">
        <v>167</v>
      </c>
      <c r="J55" t="e">
        <f ca="1">MERGEVALUE(G55)</f>
        <v>#NAME?</v>
      </c>
      <c r="M55" t="str">
        <f t="array" ref="M55">IF(ISERROR(MATCH(MID(N55,1,250),MID(note_ter,1,250),0)),"n","y")</f>
        <v>n</v>
      </c>
      <c r="O55" t="str">
        <f>H55&amp;"("&amp;I55&amp;")"</f>
        <v>Анучинский муниципальный округ(05502000)</v>
      </c>
    </row>
    <row r="56" spans="1:15" ht="15" customHeight="1" x14ac:dyDescent="0.15">
      <c r="A56" s="6"/>
      <c r="C56" s="1"/>
      <c r="D56" s="1"/>
      <c r="E56" s="1"/>
      <c r="F56" s="1"/>
      <c r="G56" s="1" t="s">
        <v>88</v>
      </c>
      <c r="H56" s="1"/>
      <c r="I56" s="3"/>
    </row>
    <row r="57" spans="1:15" ht="14.25" customHeight="1" x14ac:dyDescent="0.15">
      <c r="A57" s="6" t="s">
        <v>109</v>
      </c>
      <c r="C57" s="1" t="s">
        <v>90</v>
      </c>
      <c r="D57" s="1"/>
      <c r="E57" s="1" t="str">
        <f>A57</f>
        <v>12</v>
      </c>
      <c r="F57" s="1" t="s">
        <v>168</v>
      </c>
      <c r="G57" s="1" t="str">
        <f>"Территория "&amp;E57</f>
        <v>Территория 12</v>
      </c>
      <c r="H57" s="1"/>
      <c r="I57" s="3"/>
    </row>
    <row r="58" spans="1:15" ht="15" customHeight="1" x14ac:dyDescent="0.15">
      <c r="A58" s="6"/>
      <c r="B58">
        <v>1</v>
      </c>
      <c r="C58" s="1"/>
      <c r="D58" s="1" t="s">
        <v>90</v>
      </c>
      <c r="E58" s="1" t="str">
        <f>A57&amp;"."&amp;B58</f>
        <v>12.1</v>
      </c>
      <c r="F58" s="1" t="s">
        <v>169</v>
      </c>
      <c r="G58" s="1" t="s">
        <v>170</v>
      </c>
      <c r="H58" s="1" t="s">
        <v>170</v>
      </c>
      <c r="I58" s="3" t="s">
        <v>171</v>
      </c>
      <c r="J58" t="e">
        <f ca="1">MERGEVALUE(G58)</f>
        <v>#NAME?</v>
      </c>
      <c r="M58" t="str">
        <f t="array" ref="M58">IF(ISERROR(MATCH(MID(N58,1,250),MID(note_ter,1,250),0)),"n","y")</f>
        <v>n</v>
      </c>
      <c r="O58" t="str">
        <f>H58&amp;"("&amp;I58&amp;")"</f>
        <v>Кавалеровский муниципальный округ(05510000)</v>
      </c>
    </row>
    <row r="59" spans="1:15" ht="15" customHeight="1" x14ac:dyDescent="0.15">
      <c r="A59" s="6"/>
      <c r="C59" s="1"/>
      <c r="D59" s="1"/>
      <c r="E59" s="1"/>
      <c r="F59" s="1"/>
      <c r="G59" s="1" t="s">
        <v>88</v>
      </c>
      <c r="H59" s="1"/>
      <c r="I59" s="3"/>
    </row>
    <row r="60" spans="1:15" ht="14.25" customHeight="1" x14ac:dyDescent="0.15">
      <c r="A60" s="6" t="s">
        <v>112</v>
      </c>
      <c r="C60" s="1" t="s">
        <v>90</v>
      </c>
      <c r="D60" s="1"/>
      <c r="E60" s="1" t="str">
        <f>A60</f>
        <v>13</v>
      </c>
      <c r="F60" s="1" t="s">
        <v>172</v>
      </c>
      <c r="G60" s="1" t="str">
        <f>"Территория "&amp;E60</f>
        <v>Территория 13</v>
      </c>
      <c r="H60" s="1"/>
      <c r="I60" s="3"/>
    </row>
    <row r="61" spans="1:15" ht="15" customHeight="1" x14ac:dyDescent="0.15">
      <c r="A61" s="6"/>
      <c r="B61">
        <v>1</v>
      </c>
      <c r="C61" s="1"/>
      <c r="D61" s="1" t="s">
        <v>90</v>
      </c>
      <c r="E61" s="1" t="str">
        <f>A60&amp;"."&amp;B61</f>
        <v>13.1</v>
      </c>
      <c r="F61" s="1" t="s">
        <v>173</v>
      </c>
      <c r="G61" s="1" t="s">
        <v>174</v>
      </c>
      <c r="H61" s="1" t="s">
        <v>175</v>
      </c>
      <c r="I61" s="3" t="s">
        <v>176</v>
      </c>
      <c r="J61" t="e">
        <f ca="1">MERGEVALUE(G61)</f>
        <v>#NAME?</v>
      </c>
      <c r="M61" t="str">
        <f t="array" ref="M61">IF(ISERROR(MATCH(MID(N61,1,250),MID(note_ter,1,250),0)),"n","y")</f>
        <v>n</v>
      </c>
      <c r="O61" t="str">
        <f>H61&amp;"("&amp;I61&amp;")"</f>
        <v>Горноключевское городское поселение(05612154)</v>
      </c>
    </row>
    <row r="62" spans="1:15" ht="15" customHeight="1" x14ac:dyDescent="0.15">
      <c r="A62" s="6"/>
      <c r="B62" t="s">
        <v>89</v>
      </c>
      <c r="C62" s="1"/>
      <c r="D62" s="1" t="s">
        <v>90</v>
      </c>
      <c r="E62" s="1" t="str">
        <f>A60&amp;"."&amp;B62</f>
        <v>13.2</v>
      </c>
      <c r="F62" s="1" t="s">
        <v>177</v>
      </c>
      <c r="G62" s="1" t="s">
        <v>174</v>
      </c>
      <c r="H62" s="1" t="s">
        <v>178</v>
      </c>
      <c r="I62" s="3" t="s">
        <v>179</v>
      </c>
      <c r="J62" t="e">
        <f ca="1">MERGEVALUE(G62)</f>
        <v>#NAME?</v>
      </c>
      <c r="M62" t="str">
        <f t="array" ref="M62">IF(ISERROR(MATCH(MID(N62,1,250),MID(note_ter,1,250),0)),"n","y")</f>
        <v>n</v>
      </c>
      <c r="O62" t="str">
        <f>H62&amp;"("&amp;I62&amp;")"</f>
        <v>Кировское городское поселение(05612151)</v>
      </c>
    </row>
    <row r="63" spans="1:15" ht="15" customHeight="1" x14ac:dyDescent="0.15">
      <c r="A63" s="6"/>
      <c r="B63" t="s">
        <v>77</v>
      </c>
      <c r="C63" s="1"/>
      <c r="D63" s="1" t="s">
        <v>90</v>
      </c>
      <c r="E63" s="1" t="str">
        <f>A60&amp;"."&amp;B63</f>
        <v>13.3</v>
      </c>
      <c r="F63" s="1" t="s">
        <v>180</v>
      </c>
      <c r="G63" s="1" t="s">
        <v>174</v>
      </c>
      <c r="H63" s="1" t="s">
        <v>181</v>
      </c>
      <c r="I63" s="3" t="s">
        <v>182</v>
      </c>
      <c r="J63" t="e">
        <f ca="1">MERGEVALUE(G63)</f>
        <v>#NAME?</v>
      </c>
      <c r="M63" t="str">
        <f t="array" ref="M63">IF(ISERROR(MATCH(MID(N63,1,250),MID(note_ter,1,250),0)),"n","y")</f>
        <v>n</v>
      </c>
      <c r="O63" t="str">
        <f>H63&amp;"("&amp;I63&amp;")"</f>
        <v>Крыловское сельское поселение(05612413)</v>
      </c>
    </row>
    <row r="64" spans="1:15" ht="15" customHeight="1" x14ac:dyDescent="0.15">
      <c r="A64" s="6"/>
      <c r="B64" t="s">
        <v>78</v>
      </c>
      <c r="C64" s="1"/>
      <c r="D64" s="1" t="s">
        <v>90</v>
      </c>
      <c r="E64" s="1" t="str">
        <f>A60&amp;"."&amp;B64</f>
        <v>13.4</v>
      </c>
      <c r="F64" s="1" t="s">
        <v>183</v>
      </c>
      <c r="G64" s="1" t="s">
        <v>174</v>
      </c>
      <c r="H64" s="1" t="s">
        <v>184</v>
      </c>
      <c r="I64" s="3" t="s">
        <v>185</v>
      </c>
      <c r="J64" t="e">
        <f ca="1">MERGEVALUE(G64)</f>
        <v>#NAME?</v>
      </c>
      <c r="M64" t="str">
        <f t="array" ref="M64">IF(ISERROR(MATCH(MID(N64,1,250),MID(note_ter,1,250),0)),"n","y")</f>
        <v>n</v>
      </c>
      <c r="O64" t="str">
        <f>H64&amp;"("&amp;I64&amp;")"</f>
        <v>Руновское сельское поселение(05612428)</v>
      </c>
    </row>
    <row r="65" spans="1:15" ht="15" customHeight="1" x14ac:dyDescent="0.15">
      <c r="A65" s="6"/>
      <c r="C65" s="1"/>
      <c r="D65" s="1"/>
      <c r="E65" s="1"/>
      <c r="F65" s="1"/>
      <c r="G65" s="1" t="s">
        <v>88</v>
      </c>
      <c r="H65" s="1"/>
      <c r="I65" s="3"/>
    </row>
    <row r="66" spans="1:15" ht="14.25" customHeight="1" x14ac:dyDescent="0.15">
      <c r="A66" s="6" t="s">
        <v>115</v>
      </c>
      <c r="C66" s="1" t="s">
        <v>90</v>
      </c>
      <c r="D66" s="1"/>
      <c r="E66" s="1" t="str">
        <f>A66</f>
        <v>14</v>
      </c>
      <c r="F66" s="1" t="s">
        <v>186</v>
      </c>
      <c r="G66" s="1" t="str">
        <f>"Территория "&amp;E66</f>
        <v>Территория 14</v>
      </c>
      <c r="H66" s="1"/>
      <c r="I66" s="3"/>
    </row>
    <row r="67" spans="1:15" ht="15" customHeight="1" x14ac:dyDescent="0.15">
      <c r="A67" s="6"/>
      <c r="B67">
        <v>1</v>
      </c>
      <c r="C67" s="1"/>
      <c r="D67" s="1" t="s">
        <v>90</v>
      </c>
      <c r="E67" s="1" t="str">
        <f>A66&amp;"."&amp;B67</f>
        <v>14.1</v>
      </c>
      <c r="F67" s="1" t="s">
        <v>187</v>
      </c>
      <c r="G67" s="1" t="s">
        <v>188</v>
      </c>
      <c r="H67" s="1" t="s">
        <v>189</v>
      </c>
      <c r="I67" s="3" t="s">
        <v>190</v>
      </c>
      <c r="J67" t="e">
        <f t="shared" ref="J67:J74" ca="1" si="4">MERGEVALUE(G67)</f>
        <v>#NAME?</v>
      </c>
      <c r="M67" t="str">
        <f t="array" ref="M67">IF(ISERROR(MATCH(MID(N67,1,250),MID(note_ter,1,250),0)),"n","y")</f>
        <v>n</v>
      </c>
      <c r="O67" t="str">
        <f t="shared" ref="O67:O74" si="5">H67&amp;"("&amp;I67&amp;")"</f>
        <v>Вострецовское(05614406)</v>
      </c>
    </row>
    <row r="68" spans="1:15" ht="15" customHeight="1" x14ac:dyDescent="0.15">
      <c r="A68" s="6"/>
      <c r="B68" t="s">
        <v>89</v>
      </c>
      <c r="C68" s="1"/>
      <c r="D68" s="1" t="s">
        <v>90</v>
      </c>
      <c r="E68" s="1" t="str">
        <f>A66&amp;"."&amp;B68</f>
        <v>14.2</v>
      </c>
      <c r="F68" s="1" t="s">
        <v>191</v>
      </c>
      <c r="G68" s="1" t="s">
        <v>188</v>
      </c>
      <c r="H68" s="1" t="s">
        <v>192</v>
      </c>
      <c r="I68" s="3" t="s">
        <v>193</v>
      </c>
      <c r="J68" t="e">
        <f t="shared" ca="1" si="4"/>
        <v>#NAME?</v>
      </c>
      <c r="M68" t="str">
        <f t="array" ref="M68">IF(ISERROR(MATCH(MID(N68,1,250),MID(note_ter,1,250),0)),"n","y")</f>
        <v>n</v>
      </c>
      <c r="O68" t="str">
        <f t="shared" si="5"/>
        <v>Глубинненское(05614408)</v>
      </c>
    </row>
    <row r="69" spans="1:15" ht="15" customHeight="1" x14ac:dyDescent="0.15">
      <c r="A69" s="6"/>
      <c r="B69" t="s">
        <v>77</v>
      </c>
      <c r="C69" s="1"/>
      <c r="D69" s="1" t="s">
        <v>90</v>
      </c>
      <c r="E69" s="1" t="str">
        <f>A66&amp;"."&amp;B69</f>
        <v>14.3</v>
      </c>
      <c r="F69" s="1" t="s">
        <v>194</v>
      </c>
      <c r="G69" s="1" t="s">
        <v>188</v>
      </c>
      <c r="H69" s="1" t="s">
        <v>195</v>
      </c>
      <c r="I69" s="3" t="s">
        <v>196</v>
      </c>
      <c r="J69" t="e">
        <f t="shared" ca="1" si="4"/>
        <v>#NAME?</v>
      </c>
      <c r="M69" t="str">
        <f t="array" ref="M69">IF(ISERROR(MATCH(MID(N69,1,250),MID(note_ter,1,250),0)),"n","y")</f>
        <v>n</v>
      </c>
      <c r="O69" t="str">
        <f t="shared" si="5"/>
        <v>Дальнекутское(05614413)</v>
      </c>
    </row>
    <row r="70" spans="1:15" ht="15" customHeight="1" x14ac:dyDescent="0.15">
      <c r="A70" s="6"/>
      <c r="B70" t="s">
        <v>78</v>
      </c>
      <c r="C70" s="1"/>
      <c r="D70" s="1" t="s">
        <v>90</v>
      </c>
      <c r="E70" s="1" t="str">
        <f>A66&amp;"."&amp;B70</f>
        <v>14.4</v>
      </c>
      <c r="F70" s="1" t="s">
        <v>197</v>
      </c>
      <c r="G70" s="1" t="s">
        <v>188</v>
      </c>
      <c r="H70" s="1" t="s">
        <v>198</v>
      </c>
      <c r="I70" s="3" t="s">
        <v>199</v>
      </c>
      <c r="J70" t="e">
        <f t="shared" ca="1" si="4"/>
        <v>#NAME?</v>
      </c>
      <c r="M70" t="str">
        <f t="array" ref="M70">IF(ISERROR(MATCH(MID(N70,1,250),MID(note_ter,1,250),0)),"n","y")</f>
        <v>n</v>
      </c>
      <c r="O70" t="str">
        <f t="shared" si="5"/>
        <v>Измайлихинское(05614416)</v>
      </c>
    </row>
    <row r="71" spans="1:15" ht="15" customHeight="1" x14ac:dyDescent="0.15">
      <c r="A71" s="6"/>
      <c r="B71" t="s">
        <v>100</v>
      </c>
      <c r="C71" s="1"/>
      <c r="D71" s="1" t="s">
        <v>90</v>
      </c>
      <c r="E71" s="1" t="str">
        <f>A66&amp;"."&amp;B71</f>
        <v>14.5</v>
      </c>
      <c r="F71" s="1" t="s">
        <v>200</v>
      </c>
      <c r="G71" s="1" t="s">
        <v>188</v>
      </c>
      <c r="H71" s="1" t="s">
        <v>201</v>
      </c>
      <c r="I71" s="3" t="s">
        <v>202</v>
      </c>
      <c r="J71" t="e">
        <f t="shared" ca="1" si="4"/>
        <v>#NAME?</v>
      </c>
      <c r="M71" t="str">
        <f t="array" ref="M71">IF(ISERROR(MATCH(MID(N71,1,250),MID(note_ter,1,250),0)),"n","y")</f>
        <v>n</v>
      </c>
      <c r="O71" t="str">
        <f t="shared" si="5"/>
        <v>Лукъяновское сельское поселение(05614420)</v>
      </c>
    </row>
    <row r="72" spans="1:15" ht="15" customHeight="1" x14ac:dyDescent="0.15">
      <c r="A72" s="6"/>
      <c r="B72" t="s">
        <v>79</v>
      </c>
      <c r="C72" s="1"/>
      <c r="D72" s="1" t="s">
        <v>90</v>
      </c>
      <c r="E72" s="1" t="str">
        <f>A66&amp;"."&amp;B72</f>
        <v>14.6</v>
      </c>
      <c r="F72" s="1" t="s">
        <v>203</v>
      </c>
      <c r="G72" s="1" t="s">
        <v>188</v>
      </c>
      <c r="H72" s="1" t="s">
        <v>204</v>
      </c>
      <c r="I72" s="3" t="s">
        <v>205</v>
      </c>
      <c r="J72" t="e">
        <f t="shared" ca="1" si="4"/>
        <v>#NAME?</v>
      </c>
      <c r="M72" t="str">
        <f t="array" ref="M72">IF(ISERROR(MATCH(MID(N72,1,250),MID(note_ter,1,250),0)),"n","y")</f>
        <v>n</v>
      </c>
      <c r="O72" t="str">
        <f t="shared" si="5"/>
        <v>Мельничное сельское поселение(05614422)</v>
      </c>
    </row>
    <row r="73" spans="1:15" ht="15" customHeight="1" x14ac:dyDescent="0.15">
      <c r="A73" s="6"/>
      <c r="B73" t="s">
        <v>80</v>
      </c>
      <c r="C73" s="1"/>
      <c r="D73" s="1" t="s">
        <v>90</v>
      </c>
      <c r="E73" s="1" t="str">
        <f>A66&amp;"."&amp;B73</f>
        <v>14.7</v>
      </c>
      <c r="F73" s="1" t="s">
        <v>206</v>
      </c>
      <c r="G73" s="1" t="s">
        <v>188</v>
      </c>
      <c r="H73" s="1" t="s">
        <v>207</v>
      </c>
      <c r="I73" s="3" t="s">
        <v>208</v>
      </c>
      <c r="J73" t="e">
        <f t="shared" ca="1" si="4"/>
        <v>#NAME?</v>
      </c>
      <c r="M73" t="str">
        <f t="array" ref="M73">IF(ISERROR(MATCH(MID(N73,1,250),MID(note_ter,1,250),0)),"n","y")</f>
        <v>n</v>
      </c>
      <c r="O73" t="str">
        <f t="shared" si="5"/>
        <v>Новопокровское сельское поселение(05614428)</v>
      </c>
    </row>
    <row r="74" spans="1:15" ht="15" customHeight="1" x14ac:dyDescent="0.15">
      <c r="A74" s="6"/>
      <c r="B74" t="s">
        <v>102</v>
      </c>
      <c r="C74" s="1"/>
      <c r="D74" s="1" t="s">
        <v>90</v>
      </c>
      <c r="E74" s="1" t="str">
        <f>A66&amp;"."&amp;B74</f>
        <v>14.8</v>
      </c>
      <c r="F74" s="1" t="s">
        <v>209</v>
      </c>
      <c r="G74" s="1" t="s">
        <v>188</v>
      </c>
      <c r="H74" s="1" t="s">
        <v>210</v>
      </c>
      <c r="I74" s="3" t="s">
        <v>211</v>
      </c>
      <c r="J74" t="e">
        <f t="shared" ca="1" si="4"/>
        <v>#NAME?</v>
      </c>
      <c r="M74" t="str">
        <f t="array" ref="M74">IF(ISERROR(MATCH(MID(N74,1,250),MID(note_ter,1,250),0)),"n","y")</f>
        <v>n</v>
      </c>
      <c r="O74" t="str">
        <f t="shared" si="5"/>
        <v>Рощинское сельское поселение(05614431)</v>
      </c>
    </row>
    <row r="75" spans="1:15" ht="15" customHeight="1" x14ac:dyDescent="0.15">
      <c r="A75" s="6"/>
      <c r="C75" s="1"/>
      <c r="D75" s="1"/>
      <c r="E75" s="1"/>
      <c r="F75" s="1"/>
      <c r="G75" s="1" t="s">
        <v>88</v>
      </c>
      <c r="H75" s="1"/>
      <c r="I75" s="3"/>
    </row>
    <row r="76" spans="1:15" ht="14.25" customHeight="1" x14ac:dyDescent="0.15">
      <c r="A76" s="6" t="s">
        <v>118</v>
      </c>
      <c r="C76" s="1" t="s">
        <v>90</v>
      </c>
      <c r="D76" s="1"/>
      <c r="E76" s="1" t="str">
        <f>A76</f>
        <v>15</v>
      </c>
      <c r="F76" s="1" t="s">
        <v>212</v>
      </c>
      <c r="G76" s="1" t="str">
        <f>"Территория "&amp;E76</f>
        <v>Территория 15</v>
      </c>
      <c r="H76" s="1"/>
      <c r="I76" s="3"/>
    </row>
    <row r="77" spans="1:15" ht="15" customHeight="1" x14ac:dyDescent="0.15">
      <c r="A77" s="6"/>
      <c r="B77">
        <v>1</v>
      </c>
      <c r="C77" s="1"/>
      <c r="D77" s="1" t="s">
        <v>90</v>
      </c>
      <c r="E77" s="1" t="str">
        <f>A76&amp;"."&amp;B77</f>
        <v>15.1</v>
      </c>
      <c r="F77" s="1" t="s">
        <v>213</v>
      </c>
      <c r="G77" s="1" t="s">
        <v>214</v>
      </c>
      <c r="H77" s="1" t="s">
        <v>214</v>
      </c>
      <c r="I77" s="3" t="s">
        <v>215</v>
      </c>
      <c r="J77" t="e">
        <f ca="1">MERGEVALUE(G77)</f>
        <v>#NAME?</v>
      </c>
      <c r="M77" t="str">
        <f t="array" ref="M77">IF(ISERROR(MATCH(MID(N77,1,250),MID(note_ter,1,250),0)),"n","y")</f>
        <v>n</v>
      </c>
      <c r="O77" t="str">
        <f>H77&amp;"("&amp;I77&amp;")"</f>
        <v>Лазовский муниципальный округ(05517000)</v>
      </c>
    </row>
    <row r="78" spans="1:15" ht="15" customHeight="1" x14ac:dyDescent="0.15">
      <c r="A78" s="6"/>
      <c r="C78" s="1"/>
      <c r="D78" s="1"/>
      <c r="E78" s="1"/>
      <c r="F78" s="1"/>
      <c r="G78" s="1" t="s">
        <v>88</v>
      </c>
      <c r="H78" s="1"/>
      <c r="I78" s="3"/>
    </row>
    <row r="79" spans="1:15" ht="14.25" customHeight="1" x14ac:dyDescent="0.15">
      <c r="A79" s="6" t="s">
        <v>169</v>
      </c>
      <c r="C79" s="1" t="s">
        <v>90</v>
      </c>
      <c r="D79" s="1"/>
      <c r="E79" s="1" t="str">
        <f>A79</f>
        <v>16</v>
      </c>
      <c r="F79" s="1" t="s">
        <v>216</v>
      </c>
      <c r="G79" s="1" t="str">
        <f>"Территория "&amp;E79</f>
        <v>Территория 16</v>
      </c>
      <c r="H79" s="1"/>
      <c r="I79" s="3"/>
    </row>
    <row r="80" spans="1:15" ht="15" customHeight="1" x14ac:dyDescent="0.15">
      <c r="A80" s="6"/>
      <c r="B80">
        <v>1</v>
      </c>
      <c r="C80" s="1"/>
      <c r="D80" s="1" t="s">
        <v>90</v>
      </c>
      <c r="E80" s="1" t="str">
        <f>A79&amp;"."&amp;B80</f>
        <v>16.1</v>
      </c>
      <c r="F80" s="1" t="s">
        <v>217</v>
      </c>
      <c r="G80" s="1" t="s">
        <v>218</v>
      </c>
      <c r="H80" s="1" t="s">
        <v>219</v>
      </c>
      <c r="I80" s="3" t="s">
        <v>220</v>
      </c>
      <c r="J80" t="e">
        <f t="shared" ref="J80:J87" ca="1" si="6">MERGEVALUE(G80)</f>
        <v>#NAME?</v>
      </c>
      <c r="M80" t="str">
        <f t="array" ref="M80">IF(ISERROR(MATCH(MID(N80,1,250),MID(note_ter,1,250),0)),"n","y")</f>
        <v>n</v>
      </c>
      <c r="O80" t="str">
        <f t="shared" ref="O80:O87" si="7">H80&amp;"("&amp;I80&amp;")"</f>
        <v>Григорьевское сельское поселение(05620406)</v>
      </c>
    </row>
    <row r="81" spans="1:15" ht="15" customHeight="1" x14ac:dyDescent="0.15">
      <c r="A81" s="6"/>
      <c r="B81" t="s">
        <v>89</v>
      </c>
      <c r="C81" s="1"/>
      <c r="D81" s="1" t="s">
        <v>90</v>
      </c>
      <c r="E81" s="1" t="str">
        <f>A79&amp;"."&amp;B81</f>
        <v>16.2</v>
      </c>
      <c r="F81" s="1" t="s">
        <v>221</v>
      </c>
      <c r="G81" s="1" t="s">
        <v>218</v>
      </c>
      <c r="H81" s="1" t="s">
        <v>222</v>
      </c>
      <c r="I81" s="3" t="s">
        <v>223</v>
      </c>
      <c r="J81" t="e">
        <f t="shared" ca="1" si="6"/>
        <v>#NAME?</v>
      </c>
      <c r="M81" t="str">
        <f t="array" ref="M81">IF(ISERROR(MATCH(MID(N81,1,250),MID(note_ter,1,250),0)),"n","y")</f>
        <v>n</v>
      </c>
      <c r="O81" t="str">
        <f t="shared" si="7"/>
        <v>Ивановкое сельское поселение(05620408)</v>
      </c>
    </row>
    <row r="82" spans="1:15" ht="15" customHeight="1" x14ac:dyDescent="0.15">
      <c r="A82" s="6"/>
      <c r="B82" t="s">
        <v>77</v>
      </c>
      <c r="C82" s="1"/>
      <c r="D82" s="1" t="s">
        <v>90</v>
      </c>
      <c r="E82" s="1" t="str">
        <f>A79&amp;"."&amp;B82</f>
        <v>16.3</v>
      </c>
      <c r="F82" s="1" t="s">
        <v>224</v>
      </c>
      <c r="G82" s="1" t="s">
        <v>218</v>
      </c>
      <c r="H82" s="1" t="s">
        <v>225</v>
      </c>
      <c r="I82" s="3" t="s">
        <v>226</v>
      </c>
      <c r="J82" t="e">
        <f t="shared" ca="1" si="6"/>
        <v>#NAME?</v>
      </c>
      <c r="M82" t="str">
        <f t="array" ref="M82">IF(ISERROR(MATCH(MID(N82,1,250),MID(note_ter,1,250),0)),"n","y")</f>
        <v>n</v>
      </c>
      <c r="O82" t="str">
        <f t="shared" si="7"/>
        <v>Кремовское сельское поселение(05620410)</v>
      </c>
    </row>
    <row r="83" spans="1:15" ht="15" customHeight="1" x14ac:dyDescent="0.15">
      <c r="A83" s="6"/>
      <c r="B83" t="s">
        <v>78</v>
      </c>
      <c r="C83" s="1"/>
      <c r="D83" s="1" t="s">
        <v>90</v>
      </c>
      <c r="E83" s="1" t="str">
        <f>A79&amp;"."&amp;B83</f>
        <v>16.4</v>
      </c>
      <c r="F83" s="1" t="s">
        <v>227</v>
      </c>
      <c r="G83" s="1" t="s">
        <v>218</v>
      </c>
      <c r="H83" s="1" t="s">
        <v>218</v>
      </c>
      <c r="I83" s="3" t="s">
        <v>228</v>
      </c>
      <c r="J83" t="e">
        <f t="shared" ca="1" si="6"/>
        <v>#NAME?</v>
      </c>
      <c r="M83" t="str">
        <f t="array" ref="M83">IF(ISERROR(MATCH(MID(N83,1,250),MID(note_ter,1,250),0)),"n","y")</f>
        <v>n</v>
      </c>
      <c r="O83" t="str">
        <f t="shared" si="7"/>
        <v>Михайловский муниципальный район(05620000)</v>
      </c>
    </row>
    <row r="84" spans="1:15" ht="15" customHeight="1" x14ac:dyDescent="0.15">
      <c r="A84" s="6"/>
      <c r="B84" t="s">
        <v>100</v>
      </c>
      <c r="C84" s="1"/>
      <c r="D84" s="1" t="s">
        <v>90</v>
      </c>
      <c r="E84" s="1" t="str">
        <f>A79&amp;"."&amp;B84</f>
        <v>16.5</v>
      </c>
      <c r="F84" s="1" t="s">
        <v>229</v>
      </c>
      <c r="G84" s="1" t="s">
        <v>218</v>
      </c>
      <c r="H84" s="1" t="s">
        <v>230</v>
      </c>
      <c r="I84" s="3" t="s">
        <v>231</v>
      </c>
      <c r="J84" t="e">
        <f t="shared" ca="1" si="6"/>
        <v>#NAME?</v>
      </c>
      <c r="M84" t="str">
        <f t="array" ref="M84">IF(ISERROR(MATCH(MID(N84,1,250),MID(note_ter,1,250),0)),"n","y")</f>
        <v>n</v>
      </c>
      <c r="O84" t="str">
        <f t="shared" si="7"/>
        <v>Новошахтинское городское поселение(05620154)</v>
      </c>
    </row>
    <row r="85" spans="1:15" ht="15" customHeight="1" x14ac:dyDescent="0.15">
      <c r="A85" s="6"/>
      <c r="B85" t="s">
        <v>79</v>
      </c>
      <c r="C85" s="1"/>
      <c r="D85" s="1" t="s">
        <v>90</v>
      </c>
      <c r="E85" s="1" t="str">
        <f>A79&amp;"."&amp;B85</f>
        <v>16.6</v>
      </c>
      <c r="F85" s="1" t="s">
        <v>232</v>
      </c>
      <c r="G85" s="1" t="s">
        <v>218</v>
      </c>
      <c r="H85" s="1" t="s">
        <v>233</v>
      </c>
      <c r="I85" s="3" t="s">
        <v>234</v>
      </c>
      <c r="J85" t="e">
        <f t="shared" ca="1" si="6"/>
        <v>#NAME?</v>
      </c>
      <c r="M85" t="str">
        <f t="array" ref="M85">IF(ISERROR(MATCH(MID(N85,1,250),MID(note_ter,1,250),0)),"n","y")</f>
        <v>n</v>
      </c>
      <c r="O85" t="str">
        <f t="shared" si="7"/>
        <v>Осиновское сельское поселение(05620425)</v>
      </c>
    </row>
    <row r="86" spans="1:15" ht="15" customHeight="1" x14ac:dyDescent="0.15">
      <c r="A86" s="6"/>
      <c r="B86" t="s">
        <v>80</v>
      </c>
      <c r="C86" s="1"/>
      <c r="D86" s="1" t="s">
        <v>90</v>
      </c>
      <c r="E86" s="1" t="str">
        <f>A79&amp;"."&amp;B86</f>
        <v>16.7</v>
      </c>
      <c r="F86" s="1" t="s">
        <v>235</v>
      </c>
      <c r="G86" s="1" t="s">
        <v>218</v>
      </c>
      <c r="H86" s="1" t="s">
        <v>236</v>
      </c>
      <c r="I86" s="3" t="s">
        <v>237</v>
      </c>
      <c r="J86" t="e">
        <f t="shared" ca="1" si="6"/>
        <v>#NAME?</v>
      </c>
      <c r="M86" t="str">
        <f t="array" ref="M86">IF(ISERROR(MATCH(MID(N86,1,250),MID(note_ter,1,250),0)),"n","y")</f>
        <v>n</v>
      </c>
      <c r="O86" t="str">
        <f t="shared" si="7"/>
        <v>Сунятсенское сельское поселение(05620428)</v>
      </c>
    </row>
    <row r="87" spans="1:15" ht="15" customHeight="1" x14ac:dyDescent="0.15">
      <c r="A87" s="6"/>
      <c r="B87" t="s">
        <v>102</v>
      </c>
      <c r="C87" s="1"/>
      <c r="D87" s="1" t="s">
        <v>90</v>
      </c>
      <c r="E87" s="1" t="str">
        <f>A79&amp;"."&amp;B87</f>
        <v>16.8</v>
      </c>
      <c r="F87" s="1" t="s">
        <v>238</v>
      </c>
      <c r="G87" s="1" t="s">
        <v>218</v>
      </c>
      <c r="H87" s="1" t="s">
        <v>239</v>
      </c>
      <c r="I87" s="3" t="s">
        <v>240</v>
      </c>
      <c r="J87" t="e">
        <f t="shared" ca="1" si="6"/>
        <v>#NAME?</v>
      </c>
      <c r="M87" t="str">
        <f t="array" ref="M87">IF(ISERROR(MATCH(MID(N87,1,250),MID(note_ter,1,250),0)),"n","y")</f>
        <v>n</v>
      </c>
      <c r="O87" t="str">
        <f t="shared" si="7"/>
        <v>Михайловское сельское поселение(05620419)</v>
      </c>
    </row>
    <row r="88" spans="1:15" ht="15" customHeight="1" x14ac:dyDescent="0.15">
      <c r="A88" s="6"/>
      <c r="C88" s="1"/>
      <c r="D88" s="1"/>
      <c r="E88" s="1"/>
      <c r="F88" s="1"/>
      <c r="G88" s="1" t="s">
        <v>88</v>
      </c>
      <c r="H88" s="1"/>
      <c r="I88" s="3"/>
    </row>
    <row r="89" spans="1:15" ht="14.25" customHeight="1" x14ac:dyDescent="0.15">
      <c r="A89" s="6" t="s">
        <v>241</v>
      </c>
      <c r="C89" s="1" t="s">
        <v>90</v>
      </c>
      <c r="D89" s="1"/>
      <c r="E89" s="1" t="str">
        <f>A89</f>
        <v>17</v>
      </c>
      <c r="F89" s="1" t="s">
        <v>242</v>
      </c>
      <c r="G89" s="1" t="str">
        <f>"Территория "&amp;E89</f>
        <v>Территория 17</v>
      </c>
      <c r="H89" s="1"/>
      <c r="I89" s="3"/>
    </row>
    <row r="90" spans="1:15" ht="15" customHeight="1" x14ac:dyDescent="0.15">
      <c r="A90" s="6"/>
      <c r="B90">
        <v>1</v>
      </c>
      <c r="C90" s="1"/>
      <c r="D90" s="1" t="s">
        <v>90</v>
      </c>
      <c r="E90" s="1" t="str">
        <f>A89&amp;"."&amp;B90</f>
        <v>17.1</v>
      </c>
      <c r="F90" s="1" t="s">
        <v>243</v>
      </c>
      <c r="G90" s="1" t="s">
        <v>244</v>
      </c>
      <c r="H90" s="1" t="s">
        <v>245</v>
      </c>
      <c r="I90" s="3" t="s">
        <v>246</v>
      </c>
      <c r="J90" t="e">
        <f ca="1">MERGEVALUE(G90)</f>
        <v>#NAME?</v>
      </c>
      <c r="M90" t="str">
        <f t="array" ref="M90">IF(ISERROR(MATCH(MID(N90,1,250),MID(note_ter,1,250),0)),"n","y")</f>
        <v>n</v>
      </c>
      <c r="O90" t="str">
        <f>H90&amp;"("&amp;I90&amp;")"</f>
        <v>Надеждинское сельское поселение(05623402)</v>
      </c>
    </row>
    <row r="91" spans="1:15" ht="15" customHeight="1" x14ac:dyDescent="0.15">
      <c r="A91" s="6"/>
      <c r="B91" t="s">
        <v>89</v>
      </c>
      <c r="C91" s="1"/>
      <c r="D91" s="1" t="s">
        <v>90</v>
      </c>
      <c r="E91" s="1" t="str">
        <f>A89&amp;"."&amp;B91</f>
        <v>17.2</v>
      </c>
      <c r="F91" s="1" t="s">
        <v>247</v>
      </c>
      <c r="G91" s="1" t="s">
        <v>244</v>
      </c>
      <c r="H91" s="1" t="s">
        <v>248</v>
      </c>
      <c r="I91" s="3" t="s">
        <v>249</v>
      </c>
      <c r="J91" t="e">
        <f ca="1">MERGEVALUE(G91)</f>
        <v>#NAME?</v>
      </c>
      <c r="M91" t="str">
        <f t="array" ref="M91">IF(ISERROR(MATCH(MID(N91,1,250),MID(note_ter,1,250),0)),"n","y")</f>
        <v>n</v>
      </c>
      <c r="O91" t="str">
        <f>H91&amp;"("&amp;I91&amp;")"</f>
        <v>Раздольненское сельское поселение(05623404)</v>
      </c>
    </row>
    <row r="92" spans="1:15" ht="15" customHeight="1" x14ac:dyDescent="0.15">
      <c r="A92" s="6"/>
      <c r="B92" t="s">
        <v>77</v>
      </c>
      <c r="C92" s="1"/>
      <c r="D92" s="1" t="s">
        <v>90</v>
      </c>
      <c r="E92" s="1" t="str">
        <f>A89&amp;"."&amp;B92</f>
        <v>17.3</v>
      </c>
      <c r="F92" s="1" t="s">
        <v>250</v>
      </c>
      <c r="G92" s="1" t="s">
        <v>244</v>
      </c>
      <c r="H92" s="1" t="s">
        <v>251</v>
      </c>
      <c r="I92" s="3" t="s">
        <v>252</v>
      </c>
      <c r="J92" t="e">
        <f ca="1">MERGEVALUE(G92)</f>
        <v>#NAME?</v>
      </c>
      <c r="M92" t="str">
        <f t="array" ref="M92">IF(ISERROR(MATCH(MID(N92,1,250),MID(note_ter,1,250),0)),"n","y")</f>
        <v>n</v>
      </c>
      <c r="O92" t="str">
        <f>H92&amp;"("&amp;I92&amp;")"</f>
        <v>Тавричанское сельское поселение(05623407)</v>
      </c>
    </row>
    <row r="93" spans="1:15" ht="15" customHeight="1" x14ac:dyDescent="0.15">
      <c r="A93" s="6"/>
      <c r="B93" t="s">
        <v>78</v>
      </c>
      <c r="C93" s="1"/>
      <c r="D93" s="1" t="s">
        <v>90</v>
      </c>
      <c r="E93" s="1" t="str">
        <f>A89&amp;"."&amp;B93</f>
        <v>17.4</v>
      </c>
      <c r="F93" s="1" t="s">
        <v>253</v>
      </c>
      <c r="G93" s="1" t="s">
        <v>244</v>
      </c>
      <c r="H93" s="1" t="s">
        <v>244</v>
      </c>
      <c r="I93" s="3" t="s">
        <v>254</v>
      </c>
      <c r="J93" t="e">
        <f ca="1">MERGEVALUE(G93)</f>
        <v>#NAME?</v>
      </c>
      <c r="M93" t="str">
        <f t="array" ref="M93">IF(ISERROR(MATCH(MID(N93,1,250),MID(note_ter,1,250),0)),"n","y")</f>
        <v>n</v>
      </c>
      <c r="O93" t="str">
        <f>H93&amp;"("&amp;I93&amp;")"</f>
        <v>Надеждинский муниципальный район(05623000)</v>
      </c>
    </row>
    <row r="94" spans="1:15" ht="15" customHeight="1" x14ac:dyDescent="0.15">
      <c r="A94" s="6"/>
      <c r="C94" s="1"/>
      <c r="D94" s="1"/>
      <c r="E94" s="1"/>
      <c r="F94" s="1"/>
      <c r="G94" s="1" t="s">
        <v>88</v>
      </c>
      <c r="H94" s="1"/>
      <c r="I94" s="3"/>
    </row>
    <row r="95" spans="1:15" ht="14.25" customHeight="1" x14ac:dyDescent="0.15">
      <c r="A95" s="6" t="s">
        <v>173</v>
      </c>
      <c r="C95" s="1" t="s">
        <v>90</v>
      </c>
      <c r="D95" s="1"/>
      <c r="E95" s="1" t="str">
        <f>A95</f>
        <v>18</v>
      </c>
      <c r="F95" s="1" t="s">
        <v>255</v>
      </c>
      <c r="G95" s="1" t="str">
        <f>"Территория "&amp;E95</f>
        <v>Территория 18</v>
      </c>
      <c r="H95" s="1"/>
      <c r="I95" s="3"/>
    </row>
    <row r="96" spans="1:15" ht="15" customHeight="1" x14ac:dyDescent="0.15">
      <c r="A96" s="6"/>
      <c r="B96">
        <v>1</v>
      </c>
      <c r="C96" s="1"/>
      <c r="D96" s="1" t="s">
        <v>90</v>
      </c>
      <c r="E96" s="1" t="str">
        <f>A95&amp;"."&amp;B96</f>
        <v>18.1</v>
      </c>
      <c r="F96" s="1" t="s">
        <v>256</v>
      </c>
      <c r="G96" s="1" t="s">
        <v>257</v>
      </c>
      <c r="H96" s="1" t="s">
        <v>257</v>
      </c>
      <c r="I96" s="3" t="s">
        <v>258</v>
      </c>
      <c r="J96" t="e">
        <f ca="1">MERGEVALUE(G96)</f>
        <v>#NAME?</v>
      </c>
      <c r="M96" t="str">
        <f t="array" ref="M96">IF(ISERROR(MATCH(MID(N96,1,250),MID(note_ter,1,250),0)),"n","y")</f>
        <v>n</v>
      </c>
      <c r="O96" t="str">
        <f>H96&amp;"("&amp;I96&amp;")"</f>
        <v>Октябрьский муниципальный округ(05526000)</v>
      </c>
    </row>
    <row r="97" spans="1:15" ht="15" customHeight="1" x14ac:dyDescent="0.15">
      <c r="A97" s="6"/>
      <c r="C97" s="1"/>
      <c r="D97" s="1"/>
      <c r="E97" s="1"/>
      <c r="F97" s="1"/>
      <c r="G97" s="1" t="s">
        <v>88</v>
      </c>
      <c r="H97" s="1"/>
      <c r="I97" s="3"/>
    </row>
    <row r="98" spans="1:15" ht="14.25" customHeight="1" x14ac:dyDescent="0.15">
      <c r="A98" s="6" t="s">
        <v>259</v>
      </c>
      <c r="C98" s="1" t="s">
        <v>90</v>
      </c>
      <c r="D98" s="1"/>
      <c r="E98" s="1" t="str">
        <f>A98</f>
        <v>19</v>
      </c>
      <c r="F98" s="1" t="s">
        <v>260</v>
      </c>
      <c r="G98" s="1" t="str">
        <f>"Территория "&amp;E98</f>
        <v>Территория 19</v>
      </c>
      <c r="H98" s="1"/>
      <c r="I98" s="3"/>
    </row>
    <row r="99" spans="1:15" ht="15" customHeight="1" x14ac:dyDescent="0.15">
      <c r="A99" s="6"/>
      <c r="B99">
        <v>1</v>
      </c>
      <c r="C99" s="1"/>
      <c r="D99" s="1" t="s">
        <v>90</v>
      </c>
      <c r="E99" s="1" t="str">
        <f>A98&amp;"."&amp;B99</f>
        <v>19.1</v>
      </c>
      <c r="F99" s="1" t="s">
        <v>261</v>
      </c>
      <c r="G99" s="1" t="s">
        <v>262</v>
      </c>
      <c r="H99" s="1" t="s">
        <v>262</v>
      </c>
      <c r="I99" s="3" t="s">
        <v>263</v>
      </c>
      <c r="J99" t="e">
        <f ca="1">MERGEVALUE(G99)</f>
        <v>#NAME?</v>
      </c>
      <c r="M99" t="str">
        <f t="array" ref="M99">IF(ISERROR(MATCH(MID(N99,1,250),MID(note_ter,1,250),0)),"n","y")</f>
        <v>n</v>
      </c>
      <c r="O99" t="str">
        <f>H99&amp;"("&amp;I99&amp;")"</f>
        <v>Ольгинский муниципальный округ(05528000)</v>
      </c>
    </row>
    <row r="100" spans="1:15" ht="15" customHeight="1" x14ac:dyDescent="0.15">
      <c r="A100" s="6"/>
      <c r="C100" s="1"/>
      <c r="D100" s="1"/>
      <c r="E100" s="1"/>
      <c r="F100" s="1"/>
      <c r="G100" s="1" t="s">
        <v>88</v>
      </c>
      <c r="H100" s="1"/>
      <c r="I100" s="3"/>
    </row>
    <row r="101" spans="1:15" ht="14.25" customHeight="1" x14ac:dyDescent="0.15">
      <c r="A101" s="6" t="s">
        <v>177</v>
      </c>
      <c r="C101" s="1" t="s">
        <v>90</v>
      </c>
      <c r="D101" s="1"/>
      <c r="E101" s="1" t="str">
        <f>A101</f>
        <v>20</v>
      </c>
      <c r="F101" s="1" t="s">
        <v>264</v>
      </c>
      <c r="G101" s="1" t="str">
        <f>"Территория "&amp;E101</f>
        <v>Территория 20</v>
      </c>
      <c r="H101" s="1"/>
      <c r="I101" s="3"/>
    </row>
    <row r="102" spans="1:15" ht="15" customHeight="1" x14ac:dyDescent="0.15">
      <c r="A102" s="6"/>
      <c r="B102">
        <v>1</v>
      </c>
      <c r="C102" s="1"/>
      <c r="D102" s="1" t="s">
        <v>90</v>
      </c>
      <c r="E102" s="1" t="str">
        <f>A101&amp;"."&amp;B102</f>
        <v>20.1</v>
      </c>
      <c r="F102" s="1" t="s">
        <v>265</v>
      </c>
      <c r="G102" s="1" t="s">
        <v>266</v>
      </c>
      <c r="H102" s="1" t="s">
        <v>266</v>
      </c>
      <c r="I102" s="3" t="s">
        <v>267</v>
      </c>
      <c r="J102" t="e">
        <f ca="1">MERGEVALUE(G102)</f>
        <v>#NAME?</v>
      </c>
      <c r="M102" t="str">
        <f t="array" ref="M102">IF(ISERROR(MATCH(MID(N102,1,250),MID(note_ter,1,250),0)),"n","y")</f>
        <v>n</v>
      </c>
      <c r="O102" t="str">
        <f>H102&amp;"("&amp;I102&amp;")"</f>
        <v>Пограничный муниципальный округ(05532000)</v>
      </c>
    </row>
    <row r="103" spans="1:15" ht="15" customHeight="1" x14ac:dyDescent="0.15">
      <c r="A103" s="6"/>
      <c r="C103" s="1"/>
      <c r="D103" s="1"/>
      <c r="E103" s="1"/>
      <c r="F103" s="1"/>
      <c r="G103" s="1" t="s">
        <v>88</v>
      </c>
      <c r="H103" s="1"/>
      <c r="I103" s="3"/>
    </row>
    <row r="104" spans="1:15" ht="14.25" customHeight="1" x14ac:dyDescent="0.15">
      <c r="A104" s="6" t="s">
        <v>180</v>
      </c>
      <c r="C104" s="1" t="s">
        <v>90</v>
      </c>
      <c r="D104" s="1"/>
      <c r="E104" s="1" t="str">
        <f>A104</f>
        <v>21</v>
      </c>
      <c r="F104" s="1" t="s">
        <v>268</v>
      </c>
      <c r="G104" s="1" t="str">
        <f>"Территория "&amp;E104</f>
        <v>Территория 21</v>
      </c>
      <c r="H104" s="1"/>
      <c r="I104" s="3"/>
    </row>
    <row r="105" spans="1:15" ht="15" customHeight="1" x14ac:dyDescent="0.15">
      <c r="A105" s="6"/>
      <c r="B105">
        <v>1</v>
      </c>
      <c r="C105" s="1"/>
      <c r="D105" s="1" t="s">
        <v>90</v>
      </c>
      <c r="E105" s="1" t="str">
        <f>A104&amp;"."&amp;B105</f>
        <v>21.1</v>
      </c>
      <c r="F105" s="1" t="s">
        <v>269</v>
      </c>
      <c r="G105" s="1" t="s">
        <v>270</v>
      </c>
      <c r="H105" s="1" t="s">
        <v>270</v>
      </c>
      <c r="I105" s="3" t="s">
        <v>271</v>
      </c>
      <c r="J105" t="e">
        <f ca="1">MERGEVALUE(G105)</f>
        <v>#NAME?</v>
      </c>
      <c r="M105" t="str">
        <f t="array" ref="M105">IF(ISERROR(MATCH(MID(N105,1,250),MID(note_ter,1,250),0)),"n","y")</f>
        <v>n</v>
      </c>
      <c r="O105" t="str">
        <f>H105&amp;"("&amp;I105&amp;")"</f>
        <v>Пожарский муниципальный округ(05534000)</v>
      </c>
    </row>
    <row r="106" spans="1:15" ht="15" customHeight="1" x14ac:dyDescent="0.15">
      <c r="A106" s="6"/>
      <c r="C106" s="1"/>
      <c r="D106" s="1"/>
      <c r="E106" s="1"/>
      <c r="F106" s="1"/>
      <c r="G106" s="1" t="s">
        <v>88</v>
      </c>
      <c r="H106" s="1"/>
      <c r="I106" s="3"/>
    </row>
    <row r="107" spans="1:15" ht="14.25" customHeight="1" x14ac:dyDescent="0.15">
      <c r="A107" s="6" t="s">
        <v>272</v>
      </c>
      <c r="C107" s="1" t="s">
        <v>90</v>
      </c>
      <c r="D107" s="1"/>
      <c r="E107" s="1" t="str">
        <f>A107</f>
        <v>22</v>
      </c>
      <c r="F107" s="1" t="s">
        <v>273</v>
      </c>
      <c r="G107" s="1" t="str">
        <f>"Территория "&amp;E107</f>
        <v>Территория 22</v>
      </c>
      <c r="H107" s="1"/>
      <c r="I107" s="3"/>
    </row>
    <row r="108" spans="1:15" ht="15" customHeight="1" x14ac:dyDescent="0.15">
      <c r="A108" s="6"/>
      <c r="B108">
        <v>1</v>
      </c>
      <c r="C108" s="1"/>
      <c r="D108" s="1" t="s">
        <v>90</v>
      </c>
      <c r="E108" s="1" t="str">
        <f>A107&amp;"."&amp;B108</f>
        <v>22.1</v>
      </c>
      <c r="F108" s="1" t="s">
        <v>274</v>
      </c>
      <c r="G108" s="1" t="s">
        <v>275</v>
      </c>
      <c r="H108" s="1" t="s">
        <v>275</v>
      </c>
      <c r="I108" s="3" t="s">
        <v>276</v>
      </c>
      <c r="J108" t="e">
        <f ca="1">MERGEVALUE(G108)</f>
        <v>#NAME?</v>
      </c>
      <c r="M108" t="str">
        <f t="array" ref="M108">IF(ISERROR(MATCH(MID(N108,1,250),MID(note_ter,1,250),0)),"n","y")</f>
        <v>n</v>
      </c>
      <c r="O108" t="str">
        <f>H108&amp;"("&amp;I108&amp;")"</f>
        <v>Ханкайский муниципальный округ(05546000)</v>
      </c>
    </row>
    <row r="109" spans="1:15" ht="15" customHeight="1" x14ac:dyDescent="0.15">
      <c r="A109" s="6"/>
      <c r="C109" s="1"/>
      <c r="D109" s="1"/>
      <c r="E109" s="1"/>
      <c r="F109" s="1"/>
      <c r="G109" s="1" t="s">
        <v>88</v>
      </c>
      <c r="H109" s="1"/>
      <c r="I109" s="3"/>
    </row>
    <row r="110" spans="1:15" ht="14.25" customHeight="1" x14ac:dyDescent="0.15">
      <c r="A110" s="6" t="s">
        <v>183</v>
      </c>
      <c r="C110" s="1" t="s">
        <v>90</v>
      </c>
      <c r="D110" s="1"/>
      <c r="E110" s="1" t="str">
        <f>A110</f>
        <v>23</v>
      </c>
      <c r="F110" s="1" t="s">
        <v>277</v>
      </c>
      <c r="G110" s="1" t="str">
        <f>"Территория "&amp;E110</f>
        <v>Территория 23</v>
      </c>
      <c r="H110" s="1"/>
      <c r="I110" s="3"/>
    </row>
    <row r="111" spans="1:15" ht="15" customHeight="1" x14ac:dyDescent="0.15">
      <c r="A111" s="6"/>
      <c r="B111">
        <v>1</v>
      </c>
      <c r="C111" s="1"/>
      <c r="D111" s="1" t="s">
        <v>90</v>
      </c>
      <c r="E111" s="1" t="str">
        <f>A110&amp;"."&amp;B111</f>
        <v>23.1</v>
      </c>
      <c r="F111" s="1" t="s">
        <v>278</v>
      </c>
      <c r="G111" s="1" t="s">
        <v>279</v>
      </c>
      <c r="H111" s="1" t="s">
        <v>279</v>
      </c>
      <c r="I111" s="3" t="s">
        <v>280</v>
      </c>
      <c r="J111" t="e">
        <f ca="1">MERGEVALUE(G111)</f>
        <v>#NAME?</v>
      </c>
      <c r="M111" t="str">
        <f t="array" ref="M111">IF(ISERROR(MATCH(MID(N111,1,250),MID(note_ter,1,250),0)),"n","y")</f>
        <v>n</v>
      </c>
      <c r="O111" t="str">
        <f>H111&amp;"("&amp;I111&amp;")"</f>
        <v>Хасанский муниципальный округ(05548000)</v>
      </c>
    </row>
    <row r="112" spans="1:15" ht="15" customHeight="1" x14ac:dyDescent="0.15">
      <c r="A112" s="6"/>
      <c r="C112" s="1"/>
      <c r="D112" s="1"/>
      <c r="E112" s="1"/>
      <c r="F112" s="1"/>
      <c r="G112" s="1" t="s">
        <v>88</v>
      </c>
      <c r="H112" s="1"/>
      <c r="I112" s="3"/>
    </row>
    <row r="113" spans="1:15" ht="14.25" customHeight="1" x14ac:dyDescent="0.15">
      <c r="A113" s="6" t="s">
        <v>281</v>
      </c>
      <c r="C113" s="1" t="s">
        <v>90</v>
      </c>
      <c r="D113" s="1"/>
      <c r="E113" s="1" t="str">
        <f>A113</f>
        <v>24</v>
      </c>
      <c r="F113" s="1" t="s">
        <v>282</v>
      </c>
      <c r="G113" s="1" t="str">
        <f>"Территория "&amp;E113</f>
        <v>Территория 24</v>
      </c>
      <c r="H113" s="1"/>
      <c r="I113" s="3"/>
    </row>
    <row r="114" spans="1:15" ht="15" customHeight="1" x14ac:dyDescent="0.15">
      <c r="A114" s="6"/>
      <c r="B114">
        <v>1</v>
      </c>
      <c r="C114" s="1"/>
      <c r="D114" s="1" t="s">
        <v>90</v>
      </c>
      <c r="E114" s="1" t="str">
        <f>A113&amp;"."&amp;B114</f>
        <v>24.1</v>
      </c>
      <c r="F114" s="1" t="s">
        <v>283</v>
      </c>
      <c r="G114" s="1" t="s">
        <v>284</v>
      </c>
      <c r="H114" s="1" t="s">
        <v>284</v>
      </c>
      <c r="I114" s="3" t="s">
        <v>285</v>
      </c>
      <c r="J114" t="e">
        <f ca="1">MERGEVALUE(G114)</f>
        <v>#NAME?</v>
      </c>
      <c r="M114" t="str">
        <f t="array" ref="M114">IF(ISERROR(MATCH(MID(N114,1,250),MID(note_ter,1,250),0)),"n","y")</f>
        <v>n</v>
      </c>
      <c r="O114" t="str">
        <f>H114&amp;"("&amp;I114&amp;")"</f>
        <v>Хорольский муниципальный округ(05550000)</v>
      </c>
    </row>
    <row r="115" spans="1:15" ht="15" customHeight="1" x14ac:dyDescent="0.15">
      <c r="A115" s="6"/>
      <c r="C115" s="1"/>
      <c r="D115" s="1"/>
      <c r="E115" s="1"/>
      <c r="F115" s="1"/>
      <c r="G115" s="1" t="s">
        <v>88</v>
      </c>
      <c r="H115" s="1"/>
      <c r="I115" s="3"/>
    </row>
    <row r="116" spans="1:15" ht="14.25" customHeight="1" x14ac:dyDescent="0.15">
      <c r="A116" s="6" t="s">
        <v>286</v>
      </c>
      <c r="C116" s="1" t="s">
        <v>90</v>
      </c>
      <c r="D116" s="1"/>
      <c r="E116" s="1" t="str">
        <f>A116</f>
        <v>25</v>
      </c>
      <c r="F116" s="1" t="s">
        <v>287</v>
      </c>
      <c r="G116" s="1" t="str">
        <f>"Территория "&amp;E116</f>
        <v>Территория 25</v>
      </c>
      <c r="H116" s="1"/>
      <c r="I116" s="3"/>
    </row>
    <row r="117" spans="1:15" ht="15" customHeight="1" x14ac:dyDescent="0.15">
      <c r="A117" s="6"/>
      <c r="B117">
        <v>1</v>
      </c>
      <c r="C117" s="1"/>
      <c r="D117" s="1" t="s">
        <v>90</v>
      </c>
      <c r="E117" s="1" t="str">
        <f>A116&amp;"."&amp;B117</f>
        <v>25.1</v>
      </c>
      <c r="F117" s="1" t="s">
        <v>288</v>
      </c>
      <c r="G117" s="1" t="s">
        <v>289</v>
      </c>
      <c r="H117" s="1" t="s">
        <v>290</v>
      </c>
      <c r="I117" s="3" t="s">
        <v>291</v>
      </c>
      <c r="J117" t="e">
        <f ca="1">MERGEVALUE(G117)</f>
        <v>#NAME?</v>
      </c>
      <c r="M117" t="str">
        <f t="array" ref="M117">IF(ISERROR(MATCH(MID(N117,1,250),MID(note_ter,1,250),0)),"n","y")</f>
        <v>n</v>
      </c>
      <c r="O117" t="str">
        <f>H117&amp;"("&amp;I117&amp;")"</f>
        <v>Дмитриевское сельское поселение(05653410)</v>
      </c>
    </row>
    <row r="118" spans="1:15" ht="15" customHeight="1" x14ac:dyDescent="0.15">
      <c r="A118" s="6"/>
      <c r="B118" t="s">
        <v>89</v>
      </c>
      <c r="C118" s="1"/>
      <c r="D118" s="1" t="s">
        <v>90</v>
      </c>
      <c r="E118" s="1" t="str">
        <f>A116&amp;"."&amp;B118</f>
        <v>25.2</v>
      </c>
      <c r="F118" s="1" t="s">
        <v>292</v>
      </c>
      <c r="G118" s="1" t="s">
        <v>289</v>
      </c>
      <c r="H118" s="1" t="s">
        <v>293</v>
      </c>
      <c r="I118" s="3" t="s">
        <v>294</v>
      </c>
      <c r="J118" t="e">
        <f ca="1">MERGEVALUE(G118)</f>
        <v>#NAME?</v>
      </c>
      <c r="M118" t="str">
        <f t="array" ref="M118">IF(ISERROR(MATCH(MID(N118,1,250),MID(note_ter,1,250),0)),"n","y")</f>
        <v>n</v>
      </c>
      <c r="O118" t="str">
        <f>H118&amp;"("&amp;I118&amp;")"</f>
        <v>Реттиховское городское поселение(05653422)</v>
      </c>
    </row>
    <row r="119" spans="1:15" ht="15" customHeight="1" x14ac:dyDescent="0.15">
      <c r="A119" s="6"/>
      <c r="B119" t="s">
        <v>77</v>
      </c>
      <c r="C119" s="1"/>
      <c r="D119" s="1" t="s">
        <v>90</v>
      </c>
      <c r="E119" s="1" t="str">
        <f>A116&amp;"."&amp;B119</f>
        <v>25.3</v>
      </c>
      <c r="F119" s="1" t="s">
        <v>295</v>
      </c>
      <c r="G119" s="1" t="s">
        <v>289</v>
      </c>
      <c r="H119" s="1" t="s">
        <v>296</v>
      </c>
      <c r="I119" s="3" t="s">
        <v>297</v>
      </c>
      <c r="J119" t="e">
        <f ca="1">MERGEVALUE(G119)</f>
        <v>#NAME?</v>
      </c>
      <c r="M119" t="str">
        <f t="array" ref="M119">IF(ISERROR(MATCH(MID(N119,1,250),MID(note_ter,1,250),0)),"n","y")</f>
        <v>n</v>
      </c>
      <c r="O119" t="str">
        <f>H119&amp;"("&amp;I119&amp;")"</f>
        <v>Снегуровское(05653419)</v>
      </c>
    </row>
    <row r="120" spans="1:15" ht="15" customHeight="1" x14ac:dyDescent="0.15">
      <c r="A120" s="6"/>
      <c r="B120" t="s">
        <v>78</v>
      </c>
      <c r="C120" s="1"/>
      <c r="D120" s="1" t="s">
        <v>90</v>
      </c>
      <c r="E120" s="1" t="str">
        <f>A116&amp;"."&amp;B120</f>
        <v>25.4</v>
      </c>
      <c r="F120" s="1" t="s">
        <v>298</v>
      </c>
      <c r="G120" s="1" t="s">
        <v>289</v>
      </c>
      <c r="H120" s="1" t="s">
        <v>299</v>
      </c>
      <c r="I120" s="3" t="s">
        <v>300</v>
      </c>
      <c r="J120" t="e">
        <f ca="1">MERGEVALUE(G120)</f>
        <v>#NAME?</v>
      </c>
      <c r="M120" t="str">
        <f t="array" ref="M120">IF(ISERROR(MATCH(MID(N120,1,250),MID(note_ter,1,250),0)),"n","y")</f>
        <v>n</v>
      </c>
      <c r="O120" t="str">
        <f>H120&amp;"("&amp;I120&amp;")"</f>
        <v>Черниговское сельское поселение(05653425)</v>
      </c>
    </row>
    <row r="121" spans="1:15" ht="15" customHeight="1" x14ac:dyDescent="0.15">
      <c r="A121" s="6"/>
      <c r="B121" t="s">
        <v>100</v>
      </c>
      <c r="C121" s="1"/>
      <c r="D121" s="1" t="s">
        <v>90</v>
      </c>
      <c r="E121" s="1" t="str">
        <f>A116&amp;"."&amp;B121</f>
        <v>25.5</v>
      </c>
      <c r="F121" s="1" t="s">
        <v>301</v>
      </c>
      <c r="G121" s="1" t="s">
        <v>289</v>
      </c>
      <c r="H121" s="1" t="s">
        <v>289</v>
      </c>
      <c r="I121" s="3" t="s">
        <v>302</v>
      </c>
      <c r="J121" t="e">
        <f ca="1">MERGEVALUE(G121)</f>
        <v>#NAME?</v>
      </c>
      <c r="M121" t="str">
        <f t="array" ref="M121">IF(ISERROR(MATCH(MID(N121,1,250),MID(note_ter,1,250),0)),"n","y")</f>
        <v>n</v>
      </c>
      <c r="O121" t="str">
        <f>H121&amp;"("&amp;I121&amp;")"</f>
        <v>Черниговский муниципальный район(05653000)</v>
      </c>
    </row>
    <row r="122" spans="1:15" ht="15" customHeight="1" x14ac:dyDescent="0.15">
      <c r="A122" s="6"/>
      <c r="C122" s="1"/>
      <c r="D122" s="1"/>
      <c r="E122" s="1"/>
      <c r="F122" s="1"/>
      <c r="G122" s="1" t="s">
        <v>88</v>
      </c>
      <c r="H122" s="1"/>
      <c r="I122" s="3"/>
    </row>
    <row r="123" spans="1:15" ht="14.25" customHeight="1" x14ac:dyDescent="0.15">
      <c r="A123" s="6" t="s">
        <v>303</v>
      </c>
      <c r="C123" s="1" t="s">
        <v>90</v>
      </c>
      <c r="D123" s="1"/>
      <c r="E123" s="1" t="str">
        <f>A123</f>
        <v>26</v>
      </c>
      <c r="F123" s="1" t="s">
        <v>304</v>
      </c>
      <c r="G123" s="1" t="str">
        <f>"Территория "&amp;E123</f>
        <v>Территория 26</v>
      </c>
      <c r="H123" s="1"/>
      <c r="I123" s="3"/>
    </row>
    <row r="124" spans="1:15" ht="15" customHeight="1" x14ac:dyDescent="0.15">
      <c r="A124" s="6"/>
      <c r="B124">
        <v>1</v>
      </c>
      <c r="C124" s="1"/>
      <c r="D124" s="1" t="s">
        <v>90</v>
      </c>
      <c r="E124" s="1" t="str">
        <f>A123&amp;"."&amp;B124</f>
        <v>26.1</v>
      </c>
      <c r="F124" s="1" t="s">
        <v>305</v>
      </c>
      <c r="G124" s="1" t="s">
        <v>306</v>
      </c>
      <c r="H124" s="1" t="s">
        <v>306</v>
      </c>
      <c r="I124" s="3" t="s">
        <v>307</v>
      </c>
      <c r="J124" t="e">
        <f ca="1">MERGEVALUE(G124)</f>
        <v>#NAME?</v>
      </c>
      <c r="M124" t="str">
        <f t="array" ref="M124">IF(ISERROR(MATCH(MID(N124,1,250),MID(note_ter,1,250),0)),"n","y")</f>
        <v>n</v>
      </c>
      <c r="O124" t="str">
        <f>H124&amp;"("&amp;I124&amp;")"</f>
        <v>Чугуевский муниципальный округ(05555000)</v>
      </c>
    </row>
    <row r="125" spans="1:15" ht="15" customHeight="1" x14ac:dyDescent="0.15">
      <c r="A125" s="6"/>
      <c r="C125" s="1"/>
      <c r="D125" s="1"/>
      <c r="E125" s="1"/>
      <c r="F125" s="1"/>
      <c r="G125" s="1" t="s">
        <v>88</v>
      </c>
      <c r="H125" s="1"/>
      <c r="I125" s="3"/>
    </row>
    <row r="126" spans="1:15" ht="14.25" customHeight="1" x14ac:dyDescent="0.15">
      <c r="A126" s="6" t="s">
        <v>187</v>
      </c>
      <c r="C126" s="1" t="s">
        <v>90</v>
      </c>
      <c r="D126" s="1"/>
      <c r="E126" s="1" t="str">
        <f>A126</f>
        <v>27</v>
      </c>
      <c r="F126" s="1" t="s">
        <v>308</v>
      </c>
      <c r="G126" s="1" t="str">
        <f>"Территория "&amp;E126</f>
        <v>Территория 27</v>
      </c>
      <c r="H126" s="1"/>
      <c r="I126" s="3"/>
    </row>
    <row r="127" spans="1:15" ht="15" customHeight="1" x14ac:dyDescent="0.15">
      <c r="A127" s="6"/>
      <c r="B127">
        <v>1</v>
      </c>
      <c r="C127" s="1"/>
      <c r="D127" s="1" t="s">
        <v>90</v>
      </c>
      <c r="E127" s="1" t="str">
        <f>A126&amp;"."&amp;B127</f>
        <v>27.1</v>
      </c>
      <c r="F127" s="1" t="s">
        <v>309</v>
      </c>
      <c r="G127" s="1" t="s">
        <v>310</v>
      </c>
      <c r="H127" s="1" t="s">
        <v>311</v>
      </c>
      <c r="I127" s="3" t="s">
        <v>312</v>
      </c>
      <c r="J127" t="e">
        <f t="shared" ref="J127:J133" ca="1" si="8">MERGEVALUE(G127)</f>
        <v>#NAME?</v>
      </c>
      <c r="M127" t="str">
        <f t="array" ref="M127">IF(ISERROR(MATCH(MID(N127,1,250),MID(note_ter,1,250),0)),"n","y")</f>
        <v>n</v>
      </c>
      <c r="O127" t="str">
        <f t="shared" ref="O127:O133" si="9">H127&amp;"("&amp;I127&amp;")"</f>
        <v>Новонежинское сельское поселение(05657413)</v>
      </c>
    </row>
    <row r="128" spans="1:15" ht="15" customHeight="1" x14ac:dyDescent="0.15">
      <c r="A128" s="6"/>
      <c r="B128" t="s">
        <v>89</v>
      </c>
      <c r="C128" s="1"/>
      <c r="D128" s="1" t="s">
        <v>90</v>
      </c>
      <c r="E128" s="1" t="str">
        <f>A126&amp;"."&amp;B128</f>
        <v>27.2</v>
      </c>
      <c r="F128" s="1" t="s">
        <v>313</v>
      </c>
      <c r="G128" s="1" t="s">
        <v>310</v>
      </c>
      <c r="H128" s="1" t="s">
        <v>314</v>
      </c>
      <c r="I128" s="3" t="s">
        <v>315</v>
      </c>
      <c r="J128" t="e">
        <f t="shared" ca="1" si="8"/>
        <v>#NAME?</v>
      </c>
      <c r="M128" t="str">
        <f t="array" ref="M128">IF(ISERROR(MATCH(MID(N128,1,250),MID(note_ter,1,250),0)),"n","y")</f>
        <v>n</v>
      </c>
      <c r="O128" t="str">
        <f t="shared" si="9"/>
        <v>Подъяпольское сельское поселение(05657422)</v>
      </c>
    </row>
    <row r="129" spans="1:15" ht="15" customHeight="1" x14ac:dyDescent="0.15">
      <c r="A129" s="6"/>
      <c r="B129" t="s">
        <v>77</v>
      </c>
      <c r="C129" s="1"/>
      <c r="D129" s="1" t="s">
        <v>90</v>
      </c>
      <c r="E129" s="1" t="str">
        <f>A126&amp;"."&amp;B129</f>
        <v>27.3</v>
      </c>
      <c r="F129" s="1" t="s">
        <v>316</v>
      </c>
      <c r="G129" s="1" t="s">
        <v>310</v>
      </c>
      <c r="H129" s="1" t="s">
        <v>317</v>
      </c>
      <c r="I129" s="3" t="s">
        <v>318</v>
      </c>
      <c r="J129" t="e">
        <f t="shared" ca="1" si="8"/>
        <v>#NAME?</v>
      </c>
      <c r="M129" t="str">
        <f t="array" ref="M129">IF(ISERROR(MATCH(MID(N129,1,250),MID(note_ter,1,250),0)),"n","y")</f>
        <v>n</v>
      </c>
      <c r="O129" t="str">
        <f t="shared" si="9"/>
        <v>Романовское сельское поселение(05657425)</v>
      </c>
    </row>
    <row r="130" spans="1:15" ht="15" customHeight="1" x14ac:dyDescent="0.15">
      <c r="A130" s="6"/>
      <c r="B130" t="s">
        <v>78</v>
      </c>
      <c r="C130" s="1"/>
      <c r="D130" s="1" t="s">
        <v>90</v>
      </c>
      <c r="E130" s="1" t="str">
        <f>A126&amp;"."&amp;B130</f>
        <v>27.4</v>
      </c>
      <c r="F130" s="1" t="s">
        <v>319</v>
      </c>
      <c r="G130" s="1" t="s">
        <v>310</v>
      </c>
      <c r="H130" s="1" t="s">
        <v>320</v>
      </c>
      <c r="I130" s="3" t="s">
        <v>321</v>
      </c>
      <c r="J130" t="e">
        <f t="shared" ca="1" si="8"/>
        <v>#NAME?</v>
      </c>
      <c r="M130" t="str">
        <f t="array" ref="M130">IF(ISERROR(MATCH(MID(N130,1,250),MID(note_ter,1,250),0)),"n","y")</f>
        <v>n</v>
      </c>
      <c r="O130" t="str">
        <f t="shared" si="9"/>
        <v>Смоляниновское городское поселение(05657158)</v>
      </c>
    </row>
    <row r="131" spans="1:15" ht="15" customHeight="1" x14ac:dyDescent="0.15">
      <c r="A131" s="6"/>
      <c r="B131" t="s">
        <v>100</v>
      </c>
      <c r="C131" s="1"/>
      <c r="D131" s="1" t="s">
        <v>90</v>
      </c>
      <c r="E131" s="1" t="str">
        <f>A126&amp;"."&amp;B131</f>
        <v>27.5</v>
      </c>
      <c r="F131" s="1" t="s">
        <v>322</v>
      </c>
      <c r="G131" s="1" t="s">
        <v>310</v>
      </c>
      <c r="H131" s="1" t="s">
        <v>323</v>
      </c>
      <c r="I131" s="3" t="s">
        <v>324</v>
      </c>
      <c r="J131" t="e">
        <f t="shared" ca="1" si="8"/>
        <v>#NAME?</v>
      </c>
      <c r="M131" t="str">
        <f t="array" ref="M131">IF(ISERROR(MATCH(MID(N131,1,250),MID(note_ter,1,250),0)),"n","y")</f>
        <v>n</v>
      </c>
      <c r="O131" t="str">
        <f t="shared" si="9"/>
        <v>Центральненское сельское поселение(05657428)</v>
      </c>
    </row>
    <row r="132" spans="1:15" ht="15" customHeight="1" x14ac:dyDescent="0.15">
      <c r="A132" s="6"/>
      <c r="B132" t="s">
        <v>79</v>
      </c>
      <c r="C132" s="1"/>
      <c r="D132" s="1" t="s">
        <v>90</v>
      </c>
      <c r="E132" s="1" t="str">
        <f>A126&amp;"."&amp;B132</f>
        <v>27.6</v>
      </c>
      <c r="F132" s="1" t="s">
        <v>325</v>
      </c>
      <c r="G132" s="1" t="s">
        <v>310</v>
      </c>
      <c r="H132" s="1" t="s">
        <v>326</v>
      </c>
      <c r="I132" s="3" t="s">
        <v>327</v>
      </c>
      <c r="J132" t="e">
        <f t="shared" ca="1" si="8"/>
        <v>#NAME?</v>
      </c>
      <c r="M132" t="str">
        <f t="array" ref="M132">IF(ISERROR(MATCH(MID(N132,1,250),MID(note_ter,1,250),0)),"n","y")</f>
        <v>n</v>
      </c>
      <c r="O132" t="str">
        <f t="shared" si="9"/>
        <v>Шкотовское городское поселение(05657165)</v>
      </c>
    </row>
    <row r="133" spans="1:15" ht="15" customHeight="1" x14ac:dyDescent="0.15">
      <c r="A133" s="6"/>
      <c r="B133" t="s">
        <v>80</v>
      </c>
      <c r="C133" s="1"/>
      <c r="D133" s="1" t="s">
        <v>90</v>
      </c>
      <c r="E133" s="1" t="str">
        <f>A126&amp;"."&amp;B133</f>
        <v>27.7</v>
      </c>
      <c r="F133" s="1" t="s">
        <v>328</v>
      </c>
      <c r="G133" s="1" t="s">
        <v>310</v>
      </c>
      <c r="H133" s="1" t="s">
        <v>329</v>
      </c>
      <c r="I133" s="3" t="s">
        <v>330</v>
      </c>
      <c r="J133" t="e">
        <f t="shared" ca="1" si="8"/>
        <v>#NAME?</v>
      </c>
      <c r="M133" t="str">
        <f t="array" ref="M133">IF(ISERROR(MATCH(MID(N133,1,250),MID(note_ter,1,250),0)),"n","y")</f>
        <v>n</v>
      </c>
      <c r="O133" t="str">
        <f t="shared" si="9"/>
        <v>Штыковское сельское поселение(05657432)</v>
      </c>
    </row>
    <row r="134" spans="1:15" ht="15" customHeight="1" x14ac:dyDescent="0.15">
      <c r="A134" s="6"/>
      <c r="C134" s="1"/>
      <c r="D134" s="1"/>
      <c r="E134" s="1"/>
      <c r="F134" s="1"/>
      <c r="G134" s="1" t="s">
        <v>88</v>
      </c>
      <c r="H134" s="1"/>
      <c r="I134" s="3"/>
    </row>
    <row r="135" spans="1:15" ht="14.25" customHeight="1" x14ac:dyDescent="0.15">
      <c r="A135" s="6" t="s">
        <v>191</v>
      </c>
      <c r="C135" s="1" t="s">
        <v>90</v>
      </c>
      <c r="D135" s="1"/>
      <c r="E135" s="1" t="str">
        <f>A135</f>
        <v>28</v>
      </c>
      <c r="F135" s="1" t="s">
        <v>331</v>
      </c>
      <c r="G135" s="1" t="str">
        <f>"Территория "&amp;E135</f>
        <v>Территория 28</v>
      </c>
      <c r="H135" s="1"/>
      <c r="I135" s="3"/>
    </row>
    <row r="136" spans="1:15" ht="15" customHeight="1" x14ac:dyDescent="0.15">
      <c r="A136" s="6"/>
      <c r="B136">
        <v>1</v>
      </c>
      <c r="C136" s="1"/>
      <c r="D136" s="1" t="s">
        <v>90</v>
      </c>
      <c r="E136" s="1" t="str">
        <f>A135&amp;"."&amp;B136</f>
        <v>28.1</v>
      </c>
      <c r="F136" s="1" t="s">
        <v>332</v>
      </c>
      <c r="G136" s="1" t="s">
        <v>333</v>
      </c>
      <c r="H136" s="1" t="s">
        <v>334</v>
      </c>
      <c r="I136" s="3" t="s">
        <v>335</v>
      </c>
      <c r="J136" t="e">
        <f ca="1">MERGEVALUE(G136)</f>
        <v>#NAME?</v>
      </c>
      <c r="M136" t="str">
        <f t="array" ref="M136">IF(ISERROR(MATCH(MID(N136,1,250),MID(note_ter,1,250),0)),"n","y")</f>
        <v>n</v>
      </c>
      <c r="O136" t="str">
        <f>H136&amp;"("&amp;I136&amp;")"</f>
        <v>Варфоломеевское сельское поселение(05659407)</v>
      </c>
    </row>
    <row r="137" spans="1:15" ht="15" customHeight="1" x14ac:dyDescent="0.15">
      <c r="A137" s="6"/>
      <c r="B137" t="s">
        <v>89</v>
      </c>
      <c r="C137" s="1"/>
      <c r="D137" s="1" t="s">
        <v>90</v>
      </c>
      <c r="E137" s="1" t="str">
        <f>A135&amp;"."&amp;B137</f>
        <v>28.2</v>
      </c>
      <c r="F137" s="1" t="s">
        <v>336</v>
      </c>
      <c r="G137" s="1" t="s">
        <v>333</v>
      </c>
      <c r="H137" s="1" t="s">
        <v>337</v>
      </c>
      <c r="I137" s="3" t="s">
        <v>338</v>
      </c>
      <c r="J137" t="e">
        <f ca="1">MERGEVALUE(G137)</f>
        <v>#NAME?</v>
      </c>
      <c r="M137" t="str">
        <f t="array" ref="M137">IF(ISERROR(MATCH(MID(N137,1,250),MID(note_ter,1,250),0)),"n","y")</f>
        <v>n</v>
      </c>
      <c r="O137" t="str">
        <f>H137&amp;"("&amp;I137&amp;")"</f>
        <v>Покровское сельское поселение(05659416)</v>
      </c>
    </row>
    <row r="138" spans="1:15" ht="15" customHeight="1" x14ac:dyDescent="0.15">
      <c r="A138" s="6"/>
      <c r="B138" t="s">
        <v>77</v>
      </c>
      <c r="C138" s="1"/>
      <c r="D138" s="1" t="s">
        <v>90</v>
      </c>
      <c r="E138" s="1" t="str">
        <f>A135&amp;"."&amp;B138</f>
        <v>28.3</v>
      </c>
      <c r="F138" s="1" t="s">
        <v>339</v>
      </c>
      <c r="G138" s="1" t="s">
        <v>333</v>
      </c>
      <c r="H138" s="1" t="s">
        <v>340</v>
      </c>
      <c r="I138" s="3" t="s">
        <v>341</v>
      </c>
      <c r="J138" t="e">
        <f ca="1">MERGEVALUE(G138)</f>
        <v>#NAME?</v>
      </c>
      <c r="M138" t="str">
        <f t="array" ref="M138">IF(ISERROR(MATCH(MID(N138,1,250),MID(note_ter,1,250),0)),"n","y")</f>
        <v>n</v>
      </c>
      <c r="O138" t="str">
        <f>H138&amp;"("&amp;I138&amp;")"</f>
        <v>Яковлевское сельское поселение(05659422)</v>
      </c>
    </row>
    <row r="139" spans="1:15" ht="15" customHeight="1" x14ac:dyDescent="0.15">
      <c r="A139" s="6"/>
      <c r="C139" s="1"/>
      <c r="D139" s="1"/>
      <c r="E139" s="1"/>
      <c r="F139" s="1"/>
      <c r="G139" s="1" t="s">
        <v>88</v>
      </c>
      <c r="H139" s="1"/>
      <c r="I139" s="3"/>
    </row>
    <row r="140" spans="1:15" ht="14.25" customHeight="1" x14ac:dyDescent="0.15">
      <c r="A140" s="6" t="s">
        <v>194</v>
      </c>
      <c r="C140" s="1" t="s">
        <v>90</v>
      </c>
      <c r="D140" s="1"/>
      <c r="E140" s="1" t="str">
        <f>A140</f>
        <v>29</v>
      </c>
      <c r="F140" s="1" t="s">
        <v>342</v>
      </c>
      <c r="G140" s="1" t="str">
        <f>"Территория "&amp;E140</f>
        <v>Территория 29</v>
      </c>
      <c r="H140" s="1"/>
      <c r="I140" s="3"/>
    </row>
    <row r="141" spans="1:15" ht="15" customHeight="1" x14ac:dyDescent="0.15">
      <c r="A141" s="6"/>
      <c r="B141">
        <v>1</v>
      </c>
      <c r="C141" s="1"/>
      <c r="D141" s="1" t="s">
        <v>90</v>
      </c>
      <c r="E141" s="1" t="str">
        <f>A140&amp;"."&amp;B141</f>
        <v>29.1</v>
      </c>
      <c r="F141" s="1" t="s">
        <v>191</v>
      </c>
      <c r="G141" s="1" t="s">
        <v>188</v>
      </c>
      <c r="H141" s="1" t="s">
        <v>192</v>
      </c>
      <c r="I141" s="3" t="s">
        <v>193</v>
      </c>
      <c r="J141" t="e">
        <f ca="1">MERGEVALUE(G141)</f>
        <v>#NAME?</v>
      </c>
      <c r="M141" t="str">
        <f t="array" ref="M141">IF(ISERROR(MATCH(MID(N141,1,250),MID(note_ter,1,250),0)),"n","y")</f>
        <v>n</v>
      </c>
      <c r="O141" t="str">
        <f>H141&amp;"("&amp;I141&amp;")"</f>
        <v>Глубинненское(05614408)</v>
      </c>
    </row>
    <row r="142" spans="1:15" ht="15" customHeight="1" x14ac:dyDescent="0.15">
      <c r="A142" s="6"/>
      <c r="C142" s="1"/>
      <c r="D142" s="1"/>
      <c r="E142" s="1"/>
      <c r="F142" s="1"/>
      <c r="G142" s="1" t="s">
        <v>88</v>
      </c>
      <c r="H142" s="1"/>
      <c r="I142" s="3"/>
    </row>
    <row r="143" spans="1:15" ht="14.25" customHeight="1" x14ac:dyDescent="0.15">
      <c r="A143" s="6" t="s">
        <v>197</v>
      </c>
      <c r="C143" s="1" t="s">
        <v>90</v>
      </c>
      <c r="D143" s="1"/>
      <c r="E143" s="1" t="str">
        <f>A143</f>
        <v>30</v>
      </c>
      <c r="F143" s="1" t="s">
        <v>343</v>
      </c>
      <c r="G143" s="1" t="str">
        <f>"Территория "&amp;E143</f>
        <v>Территория 30</v>
      </c>
      <c r="H143" s="1"/>
      <c r="I143" s="3"/>
    </row>
    <row r="144" spans="1:15" ht="15" customHeight="1" x14ac:dyDescent="0.15">
      <c r="A144" s="6"/>
      <c r="B144">
        <v>1</v>
      </c>
      <c r="C144" s="1"/>
      <c r="D144" s="1" t="s">
        <v>90</v>
      </c>
      <c r="E144" s="1" t="str">
        <f>A143&amp;"."&amp;B144</f>
        <v>30.1</v>
      </c>
      <c r="F144" s="1" t="s">
        <v>278</v>
      </c>
      <c r="G144" s="1" t="s">
        <v>279</v>
      </c>
      <c r="H144" s="1" t="s">
        <v>279</v>
      </c>
      <c r="I144" s="3" t="s">
        <v>280</v>
      </c>
      <c r="J144" t="e">
        <f ca="1">MERGEVALUE(G144)</f>
        <v>#NAME?</v>
      </c>
      <c r="M144" t="str">
        <f t="array" ref="M144">IF(ISERROR(MATCH(MID(N144,1,250),MID(note_ter,1,250),0)),"n","y")</f>
        <v>n</v>
      </c>
      <c r="O144" t="str">
        <f>H144&amp;"("&amp;I144&amp;")"</f>
        <v>Хасанский муниципальный округ(05548000)</v>
      </c>
    </row>
    <row r="145" spans="1:15" ht="15" customHeight="1" x14ac:dyDescent="0.15">
      <c r="A145" s="6"/>
      <c r="C145" s="1"/>
      <c r="D145" s="1"/>
      <c r="E145" s="1"/>
      <c r="F145" s="1"/>
      <c r="G145" s="1" t="s">
        <v>88</v>
      </c>
      <c r="H145" s="1"/>
      <c r="I145" s="3"/>
    </row>
    <row r="146" spans="1:15" ht="14.25" customHeight="1" x14ac:dyDescent="0.15">
      <c r="A146" s="6" t="s">
        <v>344</v>
      </c>
      <c r="C146" s="1" t="s">
        <v>90</v>
      </c>
      <c r="D146" s="1"/>
      <c r="E146" s="1" t="str">
        <f>A146</f>
        <v>31</v>
      </c>
      <c r="F146" s="1" t="s">
        <v>345</v>
      </c>
      <c r="G146" s="1" t="str">
        <f>"Территория "&amp;E146</f>
        <v>Территория 31</v>
      </c>
      <c r="H146" s="1"/>
      <c r="I146" s="3"/>
    </row>
    <row r="147" spans="1:15" ht="15" customHeight="1" x14ac:dyDescent="0.15">
      <c r="A147" s="6"/>
      <c r="B147">
        <v>1</v>
      </c>
      <c r="C147" s="1"/>
      <c r="D147" s="1" t="s">
        <v>90</v>
      </c>
      <c r="E147" s="1" t="str">
        <f>A146&amp;"."&amp;B147</f>
        <v>31.1</v>
      </c>
      <c r="F147" s="1" t="s">
        <v>339</v>
      </c>
      <c r="G147" s="1" t="s">
        <v>333</v>
      </c>
      <c r="H147" s="1" t="s">
        <v>340</v>
      </c>
      <c r="I147" s="3" t="s">
        <v>341</v>
      </c>
      <c r="J147" t="e">
        <f ca="1">MERGEVALUE(G147)</f>
        <v>#NAME?</v>
      </c>
      <c r="M147" t="str">
        <f t="array" ref="M147">IF(ISERROR(MATCH(MID(N147,1,250),MID(note_ter,1,250),0)),"n","y")</f>
        <v>n</v>
      </c>
      <c r="O147" t="str">
        <f>H147&amp;"("&amp;I147&amp;")"</f>
        <v>Яковлевское сельское поселение(05659422)</v>
      </c>
    </row>
    <row r="148" spans="1:15" ht="15" customHeight="1" x14ac:dyDescent="0.15">
      <c r="A148" s="6"/>
      <c r="C148" s="1"/>
      <c r="D148" s="1"/>
      <c r="E148" s="1"/>
      <c r="F148" s="1"/>
      <c r="G148" s="1" t="s">
        <v>88</v>
      </c>
      <c r="H148" s="1"/>
      <c r="I148" s="3"/>
    </row>
    <row r="149" spans="1:15" ht="14.25" customHeight="1" x14ac:dyDescent="0.15">
      <c r="A149" s="6" t="s">
        <v>200</v>
      </c>
      <c r="C149" s="1" t="s">
        <v>90</v>
      </c>
      <c r="D149" s="1"/>
      <c r="E149" s="1" t="str">
        <f>A149</f>
        <v>32</v>
      </c>
      <c r="F149" s="1" t="s">
        <v>346</v>
      </c>
      <c r="G149" s="1" t="str">
        <f>"Территория "&amp;E149</f>
        <v>Территория 32</v>
      </c>
      <c r="H149" s="1"/>
      <c r="I149" s="3"/>
    </row>
    <row r="150" spans="1:15" ht="15" customHeight="1" x14ac:dyDescent="0.15">
      <c r="A150" s="6"/>
      <c r="B150">
        <v>1</v>
      </c>
      <c r="C150" s="1"/>
      <c r="D150" s="1" t="s">
        <v>90</v>
      </c>
      <c r="E150" s="1" t="str">
        <f>A149&amp;"."&amp;B150</f>
        <v>32.1</v>
      </c>
      <c r="F150" s="1" t="s">
        <v>89</v>
      </c>
      <c r="G150" s="1" t="s">
        <v>347</v>
      </c>
      <c r="H150" s="1" t="s">
        <v>347</v>
      </c>
      <c r="I150" s="3" t="s">
        <v>348</v>
      </c>
      <c r="J150" t="e">
        <f ca="1">MERGEVALUE(G150)</f>
        <v>#NAME?</v>
      </c>
      <c r="M150" t="str">
        <f t="array" ref="M150">IF(ISERROR(MATCH(MID(N150,1,250),MID(note_ter,1,250),0)),"n","y")</f>
        <v>n</v>
      </c>
      <c r="O150" t="str">
        <f>H150&amp;"("&amp;I150&amp;")"</f>
        <v>Арсеньевский городской округ(05703000)</v>
      </c>
    </row>
    <row r="151" spans="1:15" ht="15" customHeight="1" x14ac:dyDescent="0.15">
      <c r="A151" s="6"/>
      <c r="C151" s="1"/>
      <c r="D151" s="1"/>
      <c r="E151" s="1"/>
      <c r="F151" s="1"/>
      <c r="G151" s="1" t="s">
        <v>88</v>
      </c>
      <c r="H151" s="1"/>
      <c r="I151" s="3"/>
    </row>
    <row r="152" spans="1:15" ht="14.25" customHeight="1" x14ac:dyDescent="0.15">
      <c r="A152" s="6" t="s">
        <v>203</v>
      </c>
      <c r="C152" s="1" t="s">
        <v>90</v>
      </c>
      <c r="D152" s="1"/>
      <c r="E152" s="1" t="str">
        <f>A152</f>
        <v>33</v>
      </c>
      <c r="F152" s="1" t="s">
        <v>349</v>
      </c>
      <c r="G152" s="1" t="str">
        <f>"Территория "&amp;E152</f>
        <v>Территория 33</v>
      </c>
      <c r="H152" s="1"/>
      <c r="I152" s="3"/>
    </row>
    <row r="153" spans="1:15" ht="15" customHeight="1" x14ac:dyDescent="0.15">
      <c r="A153" s="6"/>
      <c r="B153">
        <v>1</v>
      </c>
      <c r="C153" s="1"/>
      <c r="D153" s="1" t="s">
        <v>90</v>
      </c>
      <c r="E153" s="1" t="str">
        <f>A152&amp;"."&amp;B153</f>
        <v>33.1</v>
      </c>
      <c r="F153" s="1" t="s">
        <v>350</v>
      </c>
      <c r="G153" s="1" t="s">
        <v>351</v>
      </c>
      <c r="H153" s="1" t="s">
        <v>351</v>
      </c>
      <c r="I153" s="3" t="s">
        <v>352</v>
      </c>
      <c r="J153" t="e">
        <f ca="1">MERGEVALUE(G153)</f>
        <v>#NAME?</v>
      </c>
      <c r="M153" t="str">
        <f t="array" ref="M153">IF(ISERROR(MATCH(MID(N153,1,250),MID(note_ter,1,250),0)),"n","y")</f>
        <v>n</v>
      </c>
      <c r="O153" t="str">
        <f>H153&amp;"("&amp;I153&amp;")"</f>
        <v>городской округ Большой Камень(05706000)</v>
      </c>
    </row>
    <row r="154" spans="1:15" ht="15" customHeight="1" x14ac:dyDescent="0.15">
      <c r="A154" s="6"/>
      <c r="C154" s="1"/>
      <c r="D154" s="1"/>
      <c r="E154" s="1"/>
      <c r="F154" s="1"/>
      <c r="G154" s="1" t="s">
        <v>88</v>
      </c>
      <c r="H154" s="1"/>
      <c r="I154" s="3"/>
    </row>
    <row r="155" spans="1:15" ht="14.25" customHeight="1" x14ac:dyDescent="0.15">
      <c r="C155" s="1"/>
      <c r="D155" s="1"/>
      <c r="E155" s="1"/>
      <c r="F155" s="1"/>
      <c r="G155" s="1" t="s">
        <v>353</v>
      </c>
      <c r="H155" s="1"/>
      <c r="I155" s="3"/>
      <c r="N155" t="s">
        <v>354</v>
      </c>
    </row>
    <row r="156" spans="1:15" ht="21" customHeight="1" x14ac:dyDescent="0.15">
      <c r="C156" s="1"/>
      <c r="D156" s="1"/>
      <c r="E156" s="1"/>
      <c r="F156" s="1"/>
      <c r="G156" s="1"/>
      <c r="H156" s="1"/>
      <c r="I156" s="3"/>
    </row>
    <row r="158" spans="1:15" ht="0.75" customHeight="1" x14ac:dyDescent="0.15"/>
    <row r="159" spans="1:15" ht="10.5" customHeight="1" x14ac:dyDescent="0.15"/>
    <row r="160" spans="1:15" ht="10.5" customHeight="1" x14ac:dyDescent="0.15"/>
  </sheetData>
  <sheetProtection formatColumns="0" formatRows="0" insertRows="0" deleteColumns="0" deleteRows="0" sort="0" autoFilter="0"/>
  <mergeCells count="36">
    <mergeCell ref="A12:A14"/>
    <mergeCell ref="E4:I4"/>
    <mergeCell ref="E8:G8"/>
    <mergeCell ref="H8:I8"/>
    <mergeCell ref="A15:A17"/>
    <mergeCell ref="A18:A20"/>
    <mergeCell ref="A21:A23"/>
    <mergeCell ref="A24:A31"/>
    <mergeCell ref="A32:A34"/>
    <mergeCell ref="A35:A37"/>
    <mergeCell ref="A38:A40"/>
    <mergeCell ref="A41:A43"/>
    <mergeCell ref="A44:A53"/>
    <mergeCell ref="A54:A56"/>
    <mergeCell ref="A57:A59"/>
    <mergeCell ref="A60:A65"/>
    <mergeCell ref="A66:A75"/>
    <mergeCell ref="A76:A78"/>
    <mergeCell ref="A79:A88"/>
    <mergeCell ref="A89:A94"/>
    <mergeCell ref="A95:A97"/>
    <mergeCell ref="A98:A100"/>
    <mergeCell ref="A101:A103"/>
    <mergeCell ref="A104:A106"/>
    <mergeCell ref="A107:A109"/>
    <mergeCell ref="A110:A112"/>
    <mergeCell ref="A113:A115"/>
    <mergeCell ref="A116:A122"/>
    <mergeCell ref="A123:A125"/>
    <mergeCell ref="A126:A134"/>
    <mergeCell ref="A152:A154"/>
    <mergeCell ref="A135:A139"/>
    <mergeCell ref="A140:A142"/>
    <mergeCell ref="A143:A145"/>
    <mergeCell ref="A146:A148"/>
    <mergeCell ref="A149:A151"/>
  </mergeCells>
  <dataValidations count="33">
    <dataValidation type="textLength" operator="lessThanOrEqual" allowBlank="1" showInputMessage="1" showErrorMessage="1" errorTitle="Ошибка" error="Допускается ввод не более 900 символов!" sqref="G146">
      <formula1>900</formula1>
    </dataValidation>
    <dataValidation type="textLength" operator="lessThanOrEqual" allowBlank="1" showInputMessage="1" showErrorMessage="1" errorTitle="Ошибка" error="Допускается ввод не более 900 символов!" sqref="G143">
      <formula1>900</formula1>
    </dataValidation>
    <dataValidation type="textLength" operator="lessThanOrEqual" allowBlank="1" showInputMessage="1" showErrorMessage="1" errorTitle="Ошибка" error="Допускается ввод не более 900 символов!" sqref="G140">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16">
      <formula1>900</formula1>
    </dataValidation>
    <dataValidation type="textLength" operator="lessThanOrEqual" allowBlank="1" showInputMessage="1" showErrorMessage="1" errorTitle="Ошибка" error="Допускается ввод не более 900 символов!" sqref="G113">
      <formula1>900</formula1>
    </dataValidation>
    <dataValidation type="textLength" operator="lessThanOrEqual" allowBlank="1" showInputMessage="1" showErrorMessage="1" errorTitle="Ошибка" error="Допускается ввод не более 900 символов!" sqref="G110">
      <formula1>900</formula1>
    </dataValidation>
    <dataValidation type="textLength" operator="lessThanOrEqual" allowBlank="1" showInputMessage="1" showErrorMessage="1" errorTitle="Ошибка" error="Допускается ввод не более 900 символов!" sqref="G107">
      <formula1>900</formula1>
    </dataValidation>
    <dataValidation type="textLength" operator="lessThanOrEqual" allowBlank="1" showInputMessage="1" showErrorMessage="1" errorTitle="Ошибка" error="Допускается ввод не более 900 символов!" sqref="G104">
      <formula1>900</formula1>
    </dataValidation>
    <dataValidation type="textLength" operator="lessThanOrEqual" allowBlank="1" showInputMessage="1" showErrorMessage="1" errorTitle="Ошибка" error="Допускается ввод не более 900 символов!" sqref="G101">
      <formula1>900</formula1>
    </dataValidation>
    <dataValidation type="textLength" operator="lessThanOrEqual" allowBlank="1" showInputMessage="1" showErrorMessage="1" errorTitle="Ошибка" error="Допускается ввод не более 900 символов!" sqref="G98">
      <formula1>900</formula1>
    </dataValidation>
    <dataValidation type="textLength" operator="lessThanOrEqual" allowBlank="1" showInputMessage="1" showErrorMessage="1" errorTitle="Ошибка" error="Допускается ввод не более 900 символов!" sqref="G95">
      <formula1>900</formula1>
    </dataValidation>
    <dataValidation type="textLength" operator="lessThanOrEqual" allowBlank="1" showInputMessage="1" showErrorMessage="1" errorTitle="Ошибка" error="Допускается ввод не более 900 символов!" sqref="G89">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76">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44">
      <formula1>900</formula1>
    </dataValidation>
    <dataValidation type="textLength" operator="lessThanOrEqual" allowBlank="1" showInputMessage="1" showErrorMessage="1" errorTitle="Ошибка" error="Допускается ввод не более 900 символов!" sqref="G41">
      <formula1>900</formula1>
    </dataValidation>
    <dataValidation type="textLength" operator="lessThanOrEqual" allowBlank="1" showInputMessage="1" showErrorMessage="1" errorTitle="Ошибка" error="Допускается ввод не более 900 символов!" sqref="G38">
      <formula1>900</formula1>
    </dataValidation>
    <dataValidation type="textLength" operator="lessThanOrEqual" allowBlank="1" showInputMessage="1" showErrorMessage="1" errorTitle="Ошибка" error="Допускается ввод не более 900 символов!" sqref="G35">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49">
      <formula1>900</formula1>
    </dataValidation>
    <dataValidation type="textLength" operator="lessThanOrEqual" allowBlank="1" showInputMessage="1" showErrorMessage="1" errorTitle="Ошибка" error="Допускается ввод не более 900 символов!" sqref="G15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K68"/>
  <sheetViews>
    <sheetView showGridLines="0" topLeftCell="E27" zoomScale="90" workbookViewId="0">
      <selection activeCell="N40" sqref="N40"/>
    </sheetView>
  </sheetViews>
  <sheetFormatPr defaultColWidth="9.140625" defaultRowHeight="11.25" customHeight="1" x14ac:dyDescent="0.15"/>
  <cols>
    <col min="1" max="1" width="6.42578125" hidden="1" customWidth="1"/>
    <col min="2" max="2" width="2" hidden="1" customWidth="1"/>
    <col min="3" max="3" width="3.7109375" customWidth="1"/>
    <col min="4" max="4" width="4.28515625" customWidth="1"/>
    <col min="5" max="5" width="45" customWidth="1"/>
    <col min="6" max="6" width="6.42578125" customWidth="1"/>
    <col min="7" max="7" width="4.42578125" customWidth="1"/>
    <col min="8" max="8" width="5.5703125" customWidth="1"/>
    <col min="9" max="9" width="52.85546875" customWidth="1"/>
    <col min="10" max="10" width="7" customWidth="1"/>
    <col min="11" max="11" width="3.7109375" customWidth="1"/>
    <col min="12" max="12" width="6.28515625" customWidth="1"/>
    <col min="13" max="13" width="56.28515625" customWidth="1"/>
    <col min="15" max="37" width="9.140625" hidden="1"/>
  </cols>
  <sheetData>
    <row r="1" spans="1:26" ht="11.25" hidden="1" customHeight="1" x14ac:dyDescent="0.15"/>
    <row r="2" spans="1:26" ht="11.25" hidden="1" customHeight="1" x14ac:dyDescent="0.15"/>
    <row r="4" spans="1:26" ht="34.5" customHeight="1" x14ac:dyDescent="0.15">
      <c r="A4" s="1"/>
      <c r="B4" s="1"/>
      <c r="C4" s="1"/>
      <c r="D4" s="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5"/>
      <c r="F4" s="5"/>
      <c r="G4" s="5"/>
      <c r="H4" s="5"/>
      <c r="I4" s="5"/>
      <c r="J4" s="1"/>
      <c r="K4" s="1"/>
      <c r="L4" s="1"/>
      <c r="M4" s="1"/>
    </row>
    <row r="5" spans="1:26" ht="15" customHeight="1" x14ac:dyDescent="0.15">
      <c r="A5" s="1"/>
      <c r="B5" s="1"/>
      <c r="C5" s="1"/>
      <c r="D5" s="5" t="str">
        <f>IF(org=0,"Не определено",org)</f>
        <v>КГУП "Примтеплоэнерго"</v>
      </c>
      <c r="E5" s="5"/>
      <c r="F5" s="5"/>
      <c r="G5" s="5"/>
      <c r="H5" s="5"/>
      <c r="I5" s="5"/>
      <c r="J5" s="1"/>
      <c r="K5" s="1"/>
      <c r="L5" s="1"/>
      <c r="M5" s="1"/>
    </row>
    <row r="6" spans="1:26" ht="6" customHeight="1" x14ac:dyDescent="0.15">
      <c r="A6" s="5"/>
      <c r="B6" s="5"/>
      <c r="C6" s="5"/>
      <c r="D6" s="5"/>
      <c r="E6" s="5"/>
      <c r="F6" s="5"/>
      <c r="G6" s="1"/>
      <c r="H6" s="1"/>
      <c r="I6" s="1"/>
      <c r="J6" s="1"/>
      <c r="K6" s="1"/>
      <c r="L6" s="1"/>
      <c r="M6" s="1"/>
    </row>
    <row r="7" spans="1:26" ht="45.75" hidden="1" customHeight="1" x14ac:dyDescent="0.15">
      <c r="A7" s="1"/>
      <c r="B7" s="1"/>
      <c r="C7" s="1"/>
      <c r="D7" s="1"/>
      <c r="E7" s="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5"/>
      <c r="G7" s="5"/>
      <c r="H7" s="5"/>
      <c r="I7" s="5"/>
      <c r="J7" s="5"/>
      <c r="K7" s="5"/>
      <c r="L7" s="5"/>
      <c r="M7" s="5"/>
    </row>
    <row r="8" spans="1:26" ht="6" customHeight="1" x14ac:dyDescent="0.15">
      <c r="A8" s="1"/>
      <c r="B8" s="1"/>
      <c r="C8" s="1"/>
      <c r="D8" s="1"/>
      <c r="E8" s="1"/>
      <c r="F8" s="1"/>
      <c r="G8" s="1"/>
      <c r="H8" s="1"/>
      <c r="I8" s="1"/>
      <c r="J8" s="1"/>
      <c r="K8" s="1"/>
      <c r="L8" s="1"/>
      <c r="M8" s="1"/>
    </row>
    <row r="9" spans="1:26" ht="18" customHeight="1" x14ac:dyDescent="0.15">
      <c r="A9" s="5"/>
      <c r="B9" s="1"/>
      <c r="C9" s="1"/>
      <c r="D9" s="5" t="s">
        <v>355</v>
      </c>
      <c r="E9" s="5"/>
      <c r="F9" s="5" t="s">
        <v>356</v>
      </c>
      <c r="G9" s="5"/>
      <c r="H9" s="5"/>
      <c r="I9" s="5"/>
      <c r="J9" s="5" t="s">
        <v>357</v>
      </c>
      <c r="K9" s="5"/>
      <c r="L9" s="5"/>
      <c r="M9" s="5"/>
    </row>
    <row r="10" spans="1:26" ht="22.5" customHeight="1" x14ac:dyDescent="0.15">
      <c r="A10" s="5"/>
      <c r="B10" s="1"/>
      <c r="C10" s="1"/>
      <c r="D10" s="1" t="s">
        <v>75</v>
      </c>
      <c r="E10" s="1" t="s">
        <v>76</v>
      </c>
      <c r="F10" s="1" t="s">
        <v>358</v>
      </c>
      <c r="G10" s="5" t="s">
        <v>75</v>
      </c>
      <c r="H10" s="5"/>
      <c r="I10" s="1" t="s">
        <v>76</v>
      </c>
      <c r="J10" s="1" t="s">
        <v>358</v>
      </c>
      <c r="K10" s="5" t="s">
        <v>75</v>
      </c>
      <c r="L10" s="5"/>
      <c r="M10" s="1" t="s">
        <v>76</v>
      </c>
    </row>
    <row r="11" spans="1:26" ht="11.25" hidden="1" customHeight="1" x14ac:dyDescent="0.15">
      <c r="A11" s="1"/>
      <c r="B11" s="1"/>
      <c r="C11" s="1"/>
      <c r="D11" s="1" t="s">
        <v>165</v>
      </c>
      <c r="E11" s="1" t="s">
        <v>89</v>
      </c>
      <c r="F11" s="1" t="s">
        <v>77</v>
      </c>
      <c r="G11" s="5" t="s">
        <v>78</v>
      </c>
      <c r="H11" s="5"/>
      <c r="I11" s="1" t="s">
        <v>100</v>
      </c>
      <c r="J11" s="1" t="s">
        <v>79</v>
      </c>
      <c r="K11" s="5" t="s">
        <v>80</v>
      </c>
      <c r="L11" s="5"/>
      <c r="M11" s="1" t="s">
        <v>102</v>
      </c>
    </row>
    <row r="12" spans="1:26" ht="0.75" customHeight="1" x14ac:dyDescent="0.15">
      <c r="A12" s="1"/>
      <c r="B12" s="1"/>
      <c r="C12" s="1"/>
      <c r="D12" s="1"/>
      <c r="E12" s="1"/>
      <c r="F12" s="1"/>
      <c r="G12" s="1"/>
      <c r="H12" s="1"/>
      <c r="I12" s="1"/>
      <c r="J12" s="1"/>
      <c r="K12" s="1"/>
      <c r="L12" s="1"/>
      <c r="M12" s="1"/>
      <c r="O12" t="s">
        <v>359</v>
      </c>
      <c r="P12" t="s">
        <v>360</v>
      </c>
      <c r="Q12" t="s">
        <v>361</v>
      </c>
      <c r="R12" t="s">
        <v>362</v>
      </c>
    </row>
    <row r="13" spans="1:26" ht="32.25" customHeight="1" x14ac:dyDescent="0.15">
      <c r="A13" s="1"/>
      <c r="B13" s="1"/>
      <c r="C13" s="1"/>
      <c r="D13" s="5" t="s">
        <v>165</v>
      </c>
      <c r="E13" s="5" t="str">
        <f>INDEX(VD_NAME_LIST,MATCH("4190064",VD_ID_LIST,0))</f>
        <v>Производство тепловой энергии. Некомбинированная выработка</v>
      </c>
      <c r="F13" s="5" t="s">
        <v>43</v>
      </c>
      <c r="G13" s="5"/>
      <c r="H13" s="5">
        <v>1</v>
      </c>
      <c r="I13" s="5" t="s">
        <v>4</v>
      </c>
      <c r="J13" s="5" t="s">
        <v>50</v>
      </c>
      <c r="K13" s="1"/>
      <c r="L13" s="1" t="s">
        <v>165</v>
      </c>
      <c r="M13" s="1" t="s">
        <v>363</v>
      </c>
      <c r="O13" t="s">
        <v>364</v>
      </c>
      <c r="P13" t="str">
        <f t="shared" ref="P13:P29" si="0">$E$13</f>
        <v>Производство тепловой энергии. Некомбинированная выработка</v>
      </c>
      <c r="Q13" t="str">
        <f t="shared" ref="Q13:Q29" si="1">IF($F$13="нет","без дифференциации",$I$13)</f>
        <v>без дифференциации</v>
      </c>
      <c r="R13" t="str">
        <f>IF($J$13="нет","без дифференциации",M13)</f>
        <v>Единый тариф на тепловую энергию по Приморскому краю</v>
      </c>
      <c r="V13" t="s">
        <v>365</v>
      </c>
      <c r="Y13" t="s">
        <v>366</v>
      </c>
      <c r="Z13">
        <v>1705000</v>
      </c>
    </row>
    <row r="14" spans="1:26" ht="43.5" customHeight="1" x14ac:dyDescent="0.15">
      <c r="A14" s="1"/>
      <c r="B14" s="1"/>
      <c r="C14" s="1"/>
      <c r="D14" s="5"/>
      <c r="E14" s="5"/>
      <c r="F14" s="5"/>
      <c r="G14" s="5"/>
      <c r="H14" s="5"/>
      <c r="I14" s="5"/>
      <c r="J14" s="5"/>
      <c r="K14" s="1" t="s">
        <v>90</v>
      </c>
      <c r="L14" s="1" t="s">
        <v>89</v>
      </c>
      <c r="M14" s="1" t="s">
        <v>367</v>
      </c>
      <c r="O14" t="s">
        <v>368</v>
      </c>
      <c r="P14" t="str">
        <f t="shared" si="0"/>
        <v>Производство тепловой энергии. Некомбинированная выработка</v>
      </c>
      <c r="Q14" t="str">
        <f t="shared" si="1"/>
        <v>без дифференциации</v>
      </c>
      <c r="R14" t="str">
        <f>IF($J$14="нет","без дифференциации",$M$14)</f>
        <v>Тариф на тепловую энергию по Арсеньевскому ГО</v>
      </c>
      <c r="Y14" t="s">
        <v>366</v>
      </c>
      <c r="Z14">
        <v>1705000</v>
      </c>
    </row>
    <row r="15" spans="1:26" ht="34.5" customHeight="1" x14ac:dyDescent="0.15">
      <c r="A15" s="1"/>
      <c r="B15" s="1"/>
      <c r="C15" s="1"/>
      <c r="D15" s="5"/>
      <c r="E15" s="5"/>
      <c r="F15" s="5"/>
      <c r="G15" s="5"/>
      <c r="H15" s="5"/>
      <c r="I15" s="5"/>
      <c r="J15" s="5"/>
      <c r="K15" s="1" t="s">
        <v>90</v>
      </c>
      <c r="L15" s="1" t="s">
        <v>77</v>
      </c>
      <c r="M15" s="1" t="s">
        <v>369</v>
      </c>
      <c r="O15" t="s">
        <v>370</v>
      </c>
      <c r="P15" t="str">
        <f t="shared" si="0"/>
        <v>Производство тепловой энергии. Некомбинированная выработка</v>
      </c>
      <c r="Q15" t="str">
        <f t="shared" si="1"/>
        <v>без дифференциации</v>
      </c>
      <c r="R15" t="str">
        <f>IF($J$15="нет","без дифференциации",$M$15)</f>
        <v xml:space="preserve">Тариф на тепловую энергию по городскому округгу Большой Камень
</v>
      </c>
      <c r="Y15" t="s">
        <v>366</v>
      </c>
      <c r="Z15">
        <v>1705000</v>
      </c>
    </row>
    <row r="16" spans="1:26" ht="43.5" customHeight="1" x14ac:dyDescent="0.15">
      <c r="A16" s="1"/>
      <c r="B16" s="1"/>
      <c r="C16" s="1"/>
      <c r="D16" s="5"/>
      <c r="E16" s="5"/>
      <c r="F16" s="5"/>
      <c r="G16" s="5"/>
      <c r="H16" s="5"/>
      <c r="I16" s="5"/>
      <c r="J16" s="5"/>
      <c r="K16" s="1" t="s">
        <v>90</v>
      </c>
      <c r="L16" s="1" t="s">
        <v>78</v>
      </c>
      <c r="M16" s="1" t="s">
        <v>371</v>
      </c>
      <c r="O16" t="s">
        <v>372</v>
      </c>
      <c r="P16" t="str">
        <f t="shared" si="0"/>
        <v>Производство тепловой энергии. Некомбинированная выработка</v>
      </c>
      <c r="Q16" t="str">
        <f t="shared" si="1"/>
        <v>без дифференциации</v>
      </c>
      <c r="R16" t="str">
        <f>IF($J$16="нет","без дифференциации",$M$16)</f>
        <v>ГВС-открытая система на территории Артемовский городской округ, Артемовский городской округ (05705000)</v>
      </c>
      <c r="Y16" t="s">
        <v>366</v>
      </c>
      <c r="Z16">
        <v>1705000</v>
      </c>
    </row>
    <row r="17" spans="1:26" ht="43.5" customHeight="1" x14ac:dyDescent="0.15">
      <c r="A17" s="1"/>
      <c r="B17" s="1"/>
      <c r="C17" s="1"/>
      <c r="D17" s="5"/>
      <c r="E17" s="5"/>
      <c r="F17" s="5"/>
      <c r="G17" s="5"/>
      <c r="H17" s="5"/>
      <c r="I17" s="5"/>
      <c r="J17" s="5"/>
      <c r="K17" s="1" t="s">
        <v>90</v>
      </c>
      <c r="L17" s="1" t="s">
        <v>100</v>
      </c>
      <c r="M17" s="1" t="s">
        <v>373</v>
      </c>
      <c r="O17" t="s">
        <v>374</v>
      </c>
      <c r="P17" t="str">
        <f t="shared" si="0"/>
        <v>Производство тепловой энергии. Некомбинированная выработка</v>
      </c>
      <c r="Q17" t="str">
        <f t="shared" si="1"/>
        <v>без дифференциации</v>
      </c>
      <c r="R17" t="str">
        <f>IF($J$17="нет","без дифференциации",$M$17)</f>
        <v>ГВС-открытая система на территории Дальнегорский городской округ, Дальнегорский городской округ (05707000);</v>
      </c>
      <c r="Y17" t="s">
        <v>366</v>
      </c>
      <c r="Z17">
        <v>1705000</v>
      </c>
    </row>
    <row r="18" spans="1:26" ht="43.5" customHeight="1" x14ac:dyDescent="0.15">
      <c r="A18" s="1"/>
      <c r="B18" s="1"/>
      <c r="C18" s="1"/>
      <c r="D18" s="5"/>
      <c r="E18" s="5"/>
      <c r="F18" s="5"/>
      <c r="G18" s="5"/>
      <c r="H18" s="5"/>
      <c r="I18" s="5"/>
      <c r="J18" s="5"/>
      <c r="K18" s="1" t="s">
        <v>90</v>
      </c>
      <c r="L18" s="1" t="s">
        <v>79</v>
      </c>
      <c r="M18" s="1" t="s">
        <v>375</v>
      </c>
      <c r="O18" t="s">
        <v>376</v>
      </c>
      <c r="P18" t="str">
        <f t="shared" si="0"/>
        <v>Производство тепловой энергии. Некомбинированная выработка</v>
      </c>
      <c r="Q18" t="str">
        <f t="shared" si="1"/>
        <v>без дифференциации</v>
      </c>
      <c r="R18" t="str">
        <f>IF($J$18="нет","без дифференциации",$M$18)</f>
        <v xml:space="preserve">ГВС-открытая система на территории Кавалеровский муниципальный район, Кавалеровский муниципальный район (05610000); </v>
      </c>
      <c r="Y18" t="s">
        <v>366</v>
      </c>
      <c r="Z18">
        <v>1705000</v>
      </c>
    </row>
    <row r="19" spans="1:26" ht="43.5" customHeight="1" x14ac:dyDescent="0.15">
      <c r="A19" s="1"/>
      <c r="B19" s="1"/>
      <c r="C19" s="1"/>
      <c r="D19" s="5"/>
      <c r="E19" s="5"/>
      <c r="F19" s="5"/>
      <c r="G19" s="5"/>
      <c r="H19" s="5"/>
      <c r="I19" s="5"/>
      <c r="J19" s="5"/>
      <c r="K19" s="1" t="s">
        <v>90</v>
      </c>
      <c r="L19" s="1" t="s">
        <v>80</v>
      </c>
      <c r="M19" s="1" t="s">
        <v>377</v>
      </c>
      <c r="O19" t="s">
        <v>378</v>
      </c>
      <c r="P19" t="str">
        <f t="shared" si="0"/>
        <v>Производство тепловой энергии. Некомбинированная выработка</v>
      </c>
      <c r="Q19" t="str">
        <f t="shared" si="1"/>
        <v>без дифференциации</v>
      </c>
      <c r="R19" t="str">
        <f>IF($J$19="нет","без дифференциации",$M$19)</f>
        <v xml:space="preserve">ГВС-открытая система на территории Кировский муниципальный район, Горноключевское гороское поселение (05612154); </v>
      </c>
      <c r="Y19" t="s">
        <v>366</v>
      </c>
      <c r="Z19">
        <v>1705000</v>
      </c>
    </row>
    <row r="20" spans="1:26" ht="43.5" customHeight="1" x14ac:dyDescent="0.15">
      <c r="A20" s="1"/>
      <c r="B20" s="1"/>
      <c r="C20" s="1"/>
      <c r="D20" s="5"/>
      <c r="E20" s="5"/>
      <c r="F20" s="5"/>
      <c r="G20" s="5"/>
      <c r="H20" s="5"/>
      <c r="I20" s="5"/>
      <c r="J20" s="5"/>
      <c r="K20" s="1" t="s">
        <v>90</v>
      </c>
      <c r="L20" s="1" t="s">
        <v>102</v>
      </c>
      <c r="M20" s="1" t="s">
        <v>379</v>
      </c>
      <c r="O20" t="s">
        <v>380</v>
      </c>
      <c r="P20" t="str">
        <f t="shared" si="0"/>
        <v>Производство тепловой энергии. Некомбинированная выработка</v>
      </c>
      <c r="Q20" t="str">
        <f t="shared" si="1"/>
        <v>без дифференциации</v>
      </c>
      <c r="R20" t="str">
        <f>IF($J$20="нет","без дифференциации",$M$20)</f>
        <v xml:space="preserve">ГВС-открытая система на территории Михайловский муниципальный район, Новошахтинское городское поселение (05620154); </v>
      </c>
      <c r="Y20" t="s">
        <v>366</v>
      </c>
      <c r="Z20">
        <v>1705000</v>
      </c>
    </row>
    <row r="21" spans="1:26" ht="43.5" customHeight="1" x14ac:dyDescent="0.15">
      <c r="A21" s="1"/>
      <c r="B21" s="1"/>
      <c r="C21" s="1"/>
      <c r="D21" s="5"/>
      <c r="E21" s="5"/>
      <c r="F21" s="5"/>
      <c r="G21" s="5"/>
      <c r="H21" s="5"/>
      <c r="I21" s="5"/>
      <c r="J21" s="5"/>
      <c r="K21" s="1" t="s">
        <v>90</v>
      </c>
      <c r="L21" s="1" t="s">
        <v>133</v>
      </c>
      <c r="M21" s="1" t="s">
        <v>381</v>
      </c>
      <c r="O21" t="s">
        <v>382</v>
      </c>
      <c r="P21" t="str">
        <f t="shared" si="0"/>
        <v>Производство тепловой энергии. Некомбинированная выработка</v>
      </c>
      <c r="Q21" t="str">
        <f t="shared" si="1"/>
        <v>без дифференциации</v>
      </c>
      <c r="R21" t="str">
        <f>IF($J$21="нет","без дифференциации",$M$21)</f>
        <v xml:space="preserve">ГВС-открытая система на территории Пожарский муниципальный район, Губеровское сельское поселение (05634407); </v>
      </c>
      <c r="Y21" t="s">
        <v>366</v>
      </c>
      <c r="Z21">
        <v>1705000</v>
      </c>
    </row>
    <row r="22" spans="1:26" ht="43.5" customHeight="1" x14ac:dyDescent="0.15">
      <c r="A22" s="1"/>
      <c r="B22" s="1"/>
      <c r="C22" s="1"/>
      <c r="D22" s="5"/>
      <c r="E22" s="5"/>
      <c r="F22" s="5"/>
      <c r="G22" s="5"/>
      <c r="H22" s="5"/>
      <c r="I22" s="5"/>
      <c r="J22" s="5"/>
      <c r="K22" s="1" t="s">
        <v>90</v>
      </c>
      <c r="L22" s="1" t="s">
        <v>106</v>
      </c>
      <c r="M22" s="1" t="s">
        <v>383</v>
      </c>
      <c r="O22" t="s">
        <v>384</v>
      </c>
      <c r="P22" t="str">
        <f t="shared" si="0"/>
        <v>Производство тепловой энергии. Некомбинированная выработка</v>
      </c>
      <c r="Q22" t="str">
        <f t="shared" si="1"/>
        <v>без дифференциации</v>
      </c>
      <c r="R22" t="str">
        <f>IF($J$22="нет","без дифференциации",$M$22)</f>
        <v xml:space="preserve">ГВС-открытая система на территории Пожарский муниципальный район, Нагорненское сельское поселение (05634418); </v>
      </c>
      <c r="Y22" t="s">
        <v>366</v>
      </c>
      <c r="Z22">
        <v>1705000</v>
      </c>
    </row>
    <row r="23" spans="1:26" ht="43.5" customHeight="1" x14ac:dyDescent="0.15">
      <c r="A23" s="1"/>
      <c r="B23" s="1"/>
      <c r="C23" s="1"/>
      <c r="D23" s="5"/>
      <c r="E23" s="5"/>
      <c r="F23" s="5"/>
      <c r="G23" s="5"/>
      <c r="H23" s="5"/>
      <c r="I23" s="5"/>
      <c r="J23" s="5"/>
      <c r="K23" s="1" t="s">
        <v>90</v>
      </c>
      <c r="L23" s="1" t="s">
        <v>163</v>
      </c>
      <c r="M23" s="1" t="s">
        <v>385</v>
      </c>
      <c r="O23" t="s">
        <v>386</v>
      </c>
      <c r="P23" t="str">
        <f t="shared" si="0"/>
        <v>Производство тепловой энергии. Некомбинированная выработка</v>
      </c>
      <c r="Q23" t="str">
        <f t="shared" si="1"/>
        <v>без дифференциации</v>
      </c>
      <c r="R23" t="str">
        <f>IF($J$23="нет","без дифференциации",$M$23)</f>
        <v xml:space="preserve">ГВС-открытая система на территории Хасанский муниципальный район, Зарубинское городское поселение (05648153); </v>
      </c>
      <c r="Y23" t="s">
        <v>366</v>
      </c>
      <c r="Z23">
        <v>1705000</v>
      </c>
    </row>
    <row r="24" spans="1:26" ht="43.5" customHeight="1" x14ac:dyDescent="0.15">
      <c r="A24" s="1"/>
      <c r="B24" s="1"/>
      <c r="C24" s="1"/>
      <c r="D24" s="5"/>
      <c r="E24" s="5"/>
      <c r="F24" s="5"/>
      <c r="G24" s="5"/>
      <c r="H24" s="5"/>
      <c r="I24" s="5"/>
      <c r="J24" s="5"/>
      <c r="K24" s="1" t="s">
        <v>90</v>
      </c>
      <c r="L24" s="1" t="s">
        <v>109</v>
      </c>
      <c r="M24" s="1" t="s">
        <v>387</v>
      </c>
      <c r="O24" t="s">
        <v>388</v>
      </c>
      <c r="P24" t="str">
        <f t="shared" si="0"/>
        <v>Производство тепловой энергии. Некомбинированная выработка</v>
      </c>
      <c r="Q24" t="str">
        <f t="shared" si="1"/>
        <v>без дифференциации</v>
      </c>
      <c r="R24" t="str">
        <f>IF($J$24="нет","без дифференциации",$M$24)</f>
        <v xml:space="preserve">ГВС-открытая система на территории Хасанский муниципальный район, Славянское городское поселение (05648151); </v>
      </c>
      <c r="Y24" t="s">
        <v>366</v>
      </c>
      <c r="Z24">
        <v>1705000</v>
      </c>
    </row>
    <row r="25" spans="1:26" ht="43.5" customHeight="1" x14ac:dyDescent="0.15">
      <c r="A25" s="1"/>
      <c r="B25" s="1"/>
      <c r="C25" s="1"/>
      <c r="D25" s="5"/>
      <c r="E25" s="5"/>
      <c r="F25" s="5"/>
      <c r="G25" s="5"/>
      <c r="H25" s="5"/>
      <c r="I25" s="5"/>
      <c r="J25" s="5"/>
      <c r="K25" s="1" t="s">
        <v>90</v>
      </c>
      <c r="L25" s="1" t="s">
        <v>112</v>
      </c>
      <c r="M25" s="1" t="s">
        <v>389</v>
      </c>
      <c r="O25" t="s">
        <v>390</v>
      </c>
      <c r="P25" t="str">
        <f t="shared" si="0"/>
        <v>Производство тепловой энергии. Некомбинированная выработка</v>
      </c>
      <c r="Q25" t="str">
        <f t="shared" si="1"/>
        <v>без дифференциации</v>
      </c>
      <c r="R25" t="str">
        <f>IF($J$25="нет","без дифференциации",$M$25)</f>
        <v xml:space="preserve">ГВС-открытая система на территории Хорольский муниципальный район, Ярославское городское поселение (05650156); </v>
      </c>
      <c r="Y25" t="s">
        <v>366</v>
      </c>
      <c r="Z25">
        <v>1705000</v>
      </c>
    </row>
    <row r="26" spans="1:26" ht="43.5" customHeight="1" x14ac:dyDescent="0.15">
      <c r="A26" s="1"/>
      <c r="B26" s="1"/>
      <c r="C26" s="1"/>
      <c r="D26" s="5"/>
      <c r="E26" s="5"/>
      <c r="F26" s="5"/>
      <c r="G26" s="5"/>
      <c r="H26" s="5"/>
      <c r="I26" s="5"/>
      <c r="J26" s="5"/>
      <c r="K26" s="1" t="s">
        <v>90</v>
      </c>
      <c r="L26" s="1" t="s">
        <v>115</v>
      </c>
      <c r="M26" s="1" t="s">
        <v>391</v>
      </c>
      <c r="O26" t="s">
        <v>392</v>
      </c>
      <c r="P26" t="str">
        <f t="shared" si="0"/>
        <v>Производство тепловой энергии. Некомбинированная выработка</v>
      </c>
      <c r="Q26" t="str">
        <f t="shared" si="1"/>
        <v>без дифференциации</v>
      </c>
      <c r="R26" t="str">
        <f>IF($J$26="нет","без дифференциации",$M$26)</f>
        <v xml:space="preserve">ГВС-открытая система на территории Шкотовский муниципальный район, Штыковское сельское поселение (05657432); </v>
      </c>
      <c r="Y26" t="s">
        <v>366</v>
      </c>
      <c r="Z26">
        <v>1705000</v>
      </c>
    </row>
    <row r="27" spans="1:26" ht="43.5" customHeight="1" x14ac:dyDescent="0.15">
      <c r="A27" s="1"/>
      <c r="B27" s="1"/>
      <c r="C27" s="1"/>
      <c r="D27" s="5"/>
      <c r="E27" s="5"/>
      <c r="F27" s="5"/>
      <c r="G27" s="5"/>
      <c r="H27" s="5"/>
      <c r="I27" s="5"/>
      <c r="J27" s="5"/>
      <c r="K27" s="1" t="s">
        <v>90</v>
      </c>
      <c r="L27" s="1" t="s">
        <v>118</v>
      </c>
      <c r="M27" s="1" t="s">
        <v>393</v>
      </c>
      <c r="O27" t="s">
        <v>394</v>
      </c>
      <c r="P27" t="str">
        <f t="shared" si="0"/>
        <v>Производство тепловой энергии. Некомбинированная выработка</v>
      </c>
      <c r="Q27" t="str">
        <f t="shared" si="1"/>
        <v>без дифференциации</v>
      </c>
      <c r="R27" t="str">
        <f>IF($J$27="нет","без дифференциации",$M$27)</f>
        <v>ГВС-открытая система на территории Владивостокского городского округа (05701000).</v>
      </c>
      <c r="Y27" t="s">
        <v>366</v>
      </c>
      <c r="Z27">
        <v>1705000</v>
      </c>
    </row>
    <row r="28" spans="1:26" ht="60.75" customHeight="1" x14ac:dyDescent="0.15">
      <c r="A28" s="1"/>
      <c r="B28" s="1"/>
      <c r="C28" s="1"/>
      <c r="D28" s="5"/>
      <c r="E28" s="5"/>
      <c r="F28" s="5"/>
      <c r="G28" s="5"/>
      <c r="H28" s="5"/>
      <c r="I28" s="5"/>
      <c r="J28" s="5"/>
      <c r="K28" s="1" t="s">
        <v>90</v>
      </c>
      <c r="L28" s="1" t="s">
        <v>169</v>
      </c>
      <c r="M28" s="1" t="s">
        <v>395</v>
      </c>
      <c r="O28" t="s">
        <v>396</v>
      </c>
      <c r="P28" t="str">
        <f t="shared" si="0"/>
        <v>Производство тепловой энергии. Некомбинированная выработка</v>
      </c>
      <c r="Q28" t="str">
        <f t="shared" si="1"/>
        <v>без дифференциации</v>
      </c>
      <c r="R28" t="str">
        <f>IF($J$28="нет","без дифференциации",$M$28)</f>
        <v xml:space="preserve">ГВС-открытая система на территории Арсеньевский городской округ, (05703000);
</v>
      </c>
      <c r="Y28" t="s">
        <v>366</v>
      </c>
      <c r="Z28">
        <v>1705000</v>
      </c>
    </row>
    <row r="29" spans="1:26" ht="60.75" customHeight="1" x14ac:dyDescent="0.15">
      <c r="A29" s="1"/>
      <c r="B29" s="1"/>
      <c r="C29" s="1"/>
      <c r="D29" s="5"/>
      <c r="E29" s="5"/>
      <c r="F29" s="5"/>
      <c r="G29" s="5"/>
      <c r="H29" s="5"/>
      <c r="I29" s="5"/>
      <c r="J29" s="5"/>
      <c r="K29" s="1" t="s">
        <v>90</v>
      </c>
      <c r="L29" s="1" t="s">
        <v>241</v>
      </c>
      <c r="M29" s="1" t="s">
        <v>397</v>
      </c>
      <c r="O29" t="s">
        <v>398</v>
      </c>
      <c r="P29" t="str">
        <f t="shared" si="0"/>
        <v>Производство тепловой энергии. Некомбинированная выработка</v>
      </c>
      <c r="Q29" t="str">
        <f t="shared" si="1"/>
        <v>без дифференциации</v>
      </c>
      <c r="R29" t="str">
        <f>IF($J$29="нет","без дифференциации",$M$29)</f>
        <v xml:space="preserve">ГВС-открытая система на территории городской округ Большой Камень, (05706000);
</v>
      </c>
      <c r="Y29" t="s">
        <v>366</v>
      </c>
      <c r="Z29">
        <v>1705000</v>
      </c>
    </row>
    <row r="30" spans="1:26" ht="15" customHeight="1" x14ac:dyDescent="0.15">
      <c r="A30" s="1"/>
      <c r="B30" s="1"/>
      <c r="C30" s="1"/>
      <c r="D30" s="5"/>
      <c r="E30" s="5"/>
      <c r="F30" s="5"/>
      <c r="G30" s="5"/>
      <c r="H30" s="5"/>
      <c r="I30" s="5" t="s">
        <v>4</v>
      </c>
      <c r="J30" s="5"/>
      <c r="K30" s="1"/>
      <c r="L30" s="1"/>
      <c r="M30" s="1" t="s">
        <v>399</v>
      </c>
    </row>
    <row r="31" spans="1:26" ht="15" customHeight="1" x14ac:dyDescent="0.15">
      <c r="A31" s="1"/>
      <c r="B31" s="1"/>
      <c r="C31" s="1"/>
      <c r="D31" s="5"/>
      <c r="E31" s="5"/>
      <c r="F31" s="5"/>
      <c r="G31" s="1"/>
      <c r="H31" s="1"/>
      <c r="I31" s="1" t="s">
        <v>400</v>
      </c>
      <c r="J31" s="1"/>
      <c r="K31" s="1"/>
      <c r="L31" s="1"/>
      <c r="M31" s="1"/>
    </row>
    <row r="32" spans="1:26" ht="15" customHeight="1" x14ac:dyDescent="0.15">
      <c r="A32" s="1"/>
      <c r="B32" s="1"/>
      <c r="C32" s="5" t="s">
        <v>90</v>
      </c>
      <c r="D32" s="5" t="s">
        <v>89</v>
      </c>
      <c r="E32" s="5" t="str">
        <f>INDEX(VD_NAME_LIST,MATCH("4190072",VD_ID_LIST,0))</f>
        <v>Подключение (технологическое присоединение) к системе теплоснабжения</v>
      </c>
      <c r="F32" s="5" t="s">
        <v>50</v>
      </c>
      <c r="G32" s="5"/>
      <c r="H32" s="5">
        <v>1</v>
      </c>
      <c r="I32" s="5" t="str">
        <f>IF($U$32="","",INDEX(TERRITORY_MR_LIST,MATCH($U$32,TERRITORY_LIST_ID,0)))</f>
        <v>Территория 33</v>
      </c>
      <c r="J32" s="5" t="s">
        <v>50</v>
      </c>
      <c r="K32" s="1"/>
      <c r="L32" s="1" t="s">
        <v>165</v>
      </c>
      <c r="M32" s="1" t="s">
        <v>401</v>
      </c>
      <c r="O32" t="s">
        <v>402</v>
      </c>
      <c r="P32" t="str">
        <f>$E$32</f>
        <v>Подключение (технологическое присоединение) к системе теплоснабжения</v>
      </c>
      <c r="Q32" t="str">
        <f>IF($F$32="нет","без дифференциации",$I$32)</f>
        <v>Территория 33</v>
      </c>
      <c r="R32" t="str">
        <f>IF($J$32="нет","без дифференциации",$M$32)</f>
        <v>Городской округ Большой Камень</v>
      </c>
      <c r="U32" t="s">
        <v>349</v>
      </c>
      <c r="V32" t="s">
        <v>403</v>
      </c>
      <c r="Y32" t="s">
        <v>366</v>
      </c>
      <c r="Z32">
        <v>1705000</v>
      </c>
    </row>
    <row r="33" spans="1:26" ht="15" customHeight="1" x14ac:dyDescent="0.15">
      <c r="A33" s="1"/>
      <c r="B33" s="1"/>
      <c r="C33" s="5"/>
      <c r="D33" s="5"/>
      <c r="E33" s="5"/>
      <c r="F33" s="5"/>
      <c r="G33" s="5"/>
      <c r="H33" s="5"/>
      <c r="I33" s="5" t="str">
        <f>IF($U$32="","",INDEX(TERRITORY_MR_LIST,MATCH($U$32,TERRITORY_LIST_ID,0)))</f>
        <v>Территория 33</v>
      </c>
      <c r="J33" s="5"/>
      <c r="K33" s="1"/>
      <c r="L33" s="1"/>
      <c r="M33" s="1" t="s">
        <v>399</v>
      </c>
    </row>
    <row r="34" spans="1:26" ht="15" customHeight="1" x14ac:dyDescent="0.15">
      <c r="A34" s="1"/>
      <c r="B34" s="1"/>
      <c r="C34" s="5"/>
      <c r="D34" s="5"/>
      <c r="E34" s="5"/>
      <c r="F34" s="5"/>
      <c r="G34" s="5" t="s">
        <v>90</v>
      </c>
      <c r="H34" s="5" t="s">
        <v>89</v>
      </c>
      <c r="I34" s="5" t="str">
        <f>IF(U34="","",INDEX(TERRITORY_MR_LIST,MATCH(U34,TERRITORY_LIST_ID,0)))</f>
        <v>Территория 25</v>
      </c>
      <c r="J34" s="5" t="s">
        <v>50</v>
      </c>
      <c r="K34" s="1"/>
      <c r="L34" s="1" t="s">
        <v>165</v>
      </c>
      <c r="M34" s="1" t="s">
        <v>289</v>
      </c>
      <c r="O34" t="s">
        <v>404</v>
      </c>
      <c r="P34" t="str">
        <f>$E$32</f>
        <v>Подключение (технологическое присоединение) к системе теплоснабжения</v>
      </c>
      <c r="Q34" t="str">
        <f>IF($F$34="нет","без дифференциации",$I$34)</f>
        <v>Территория 25</v>
      </c>
      <c r="R34" t="str">
        <f>IF($J$34="нет","без дифференциации",$M$34)</f>
        <v>Черниговский муниципальный район</v>
      </c>
      <c r="U34" t="s">
        <v>287</v>
      </c>
      <c r="Y34" t="s">
        <v>366</v>
      </c>
      <c r="Z34">
        <v>1705000</v>
      </c>
    </row>
    <row r="35" spans="1:26" ht="15" customHeight="1" x14ac:dyDescent="0.15">
      <c r="A35" s="1"/>
      <c r="B35" s="1"/>
      <c r="C35" s="5"/>
      <c r="D35" s="5"/>
      <c r="E35" s="5"/>
      <c r="F35" s="5"/>
      <c r="G35" s="5"/>
      <c r="H35" s="5"/>
      <c r="I35" s="5"/>
      <c r="J35" s="5"/>
      <c r="K35" s="1"/>
      <c r="L35" s="1"/>
      <c r="M35" s="1" t="s">
        <v>399</v>
      </c>
    </row>
    <row r="36" spans="1:26" ht="15" customHeight="1" x14ac:dyDescent="0.15">
      <c r="A36" s="1"/>
      <c r="B36" s="1"/>
      <c r="C36" s="5"/>
      <c r="D36" s="5"/>
      <c r="E36" s="5"/>
      <c r="F36" s="5"/>
      <c r="G36" s="5" t="s">
        <v>90</v>
      </c>
      <c r="H36" s="5" t="s">
        <v>77</v>
      </c>
      <c r="I36" s="5" t="str">
        <f>IF(U36="","",INDEX(TERRITORY_MR_LIST,MATCH(U36,TERRITORY_LIST_ID,0)))</f>
        <v>Территория 10</v>
      </c>
      <c r="J36" s="5" t="s">
        <v>50</v>
      </c>
      <c r="K36" s="1"/>
      <c r="L36" s="1" t="s">
        <v>165</v>
      </c>
      <c r="M36" s="1" t="s">
        <v>405</v>
      </c>
      <c r="O36" t="s">
        <v>406</v>
      </c>
      <c r="P36" t="str">
        <f>$E$32</f>
        <v>Подключение (технологическое присоединение) к системе теплоснабжения</v>
      </c>
      <c r="Q36" t="str">
        <f>IF($F$36="нет","без дифференциации",$I$36)</f>
        <v>Территория 10</v>
      </c>
      <c r="R36" t="str">
        <f>IF($J$36="нет","без дифференциации",$M$36)</f>
        <v>Спасское МО</v>
      </c>
      <c r="U36" t="s">
        <v>137</v>
      </c>
      <c r="Y36" t="s">
        <v>366</v>
      </c>
      <c r="Z36">
        <v>1705000</v>
      </c>
    </row>
    <row r="37" spans="1:26" ht="15" customHeight="1" x14ac:dyDescent="0.15">
      <c r="A37" s="1"/>
      <c r="B37" s="1"/>
      <c r="C37" s="5"/>
      <c r="D37" s="5"/>
      <c r="E37" s="5"/>
      <c r="F37" s="5"/>
      <c r="G37" s="5"/>
      <c r="H37" s="5"/>
      <c r="I37" s="5"/>
      <c r="J37" s="5"/>
      <c r="K37" s="1"/>
      <c r="L37" s="1"/>
      <c r="M37" s="1" t="s">
        <v>399</v>
      </c>
    </row>
    <row r="38" spans="1:26" ht="15" customHeight="1" x14ac:dyDescent="0.15">
      <c r="A38" s="1"/>
      <c r="B38" s="1"/>
      <c r="C38" s="5"/>
      <c r="D38" s="5"/>
      <c r="E38" s="5"/>
      <c r="F38" s="5"/>
      <c r="G38" s="5" t="s">
        <v>90</v>
      </c>
      <c r="H38" s="5" t="s">
        <v>78</v>
      </c>
      <c r="I38" s="5" t="str">
        <f>IF(U38="","",INDEX(TERRITORY_MR_LIST,MATCH(U38,TERRITORY_LIST_ID,0)))</f>
        <v>Территория 9</v>
      </c>
      <c r="J38" s="5" t="s">
        <v>50</v>
      </c>
      <c r="K38" s="1"/>
      <c r="L38" s="1" t="s">
        <v>165</v>
      </c>
      <c r="M38" s="1" t="s">
        <v>407</v>
      </c>
      <c r="O38" t="s">
        <v>408</v>
      </c>
      <c r="P38" t="str">
        <f>$E$32</f>
        <v>Подключение (технологическое присоединение) к системе теплоснабжения</v>
      </c>
      <c r="Q38" t="str">
        <f>IF($F$38="нет","без дифференциации",$I$38)</f>
        <v>Территория 9</v>
      </c>
      <c r="R38" t="str">
        <f>IF($J$38="нет","без дифференциации",$M$38)</f>
        <v>Городской округ Спасск Дальний</v>
      </c>
      <c r="U38" t="s">
        <v>134</v>
      </c>
      <c r="Y38" t="s">
        <v>366</v>
      </c>
      <c r="Z38">
        <v>1705000</v>
      </c>
    </row>
    <row r="39" spans="1:26" ht="15" customHeight="1" x14ac:dyDescent="0.15">
      <c r="A39" s="1"/>
      <c r="B39" s="1"/>
      <c r="C39" s="5"/>
      <c r="D39" s="5"/>
      <c r="E39" s="5"/>
      <c r="F39" s="5"/>
      <c r="G39" s="5"/>
      <c r="H39" s="5"/>
      <c r="I39" s="5"/>
      <c r="J39" s="5"/>
      <c r="K39" s="1"/>
      <c r="L39" s="1"/>
      <c r="M39" s="1" t="s">
        <v>399</v>
      </c>
    </row>
    <row r="40" spans="1:26" ht="15" customHeight="1" x14ac:dyDescent="0.15">
      <c r="A40" s="1"/>
      <c r="B40" s="1"/>
      <c r="C40" s="5"/>
      <c r="D40" s="5"/>
      <c r="E40" s="5"/>
      <c r="F40" s="5"/>
      <c r="G40" s="5" t="s">
        <v>90</v>
      </c>
      <c r="H40" s="5" t="s">
        <v>100</v>
      </c>
      <c r="I40" s="5" t="str">
        <f>IF(U40="","",INDEX(TERRITORY_MR_LIST,MATCH(U40,TERRITORY_LIST_ID,0)))</f>
        <v>Территория 4</v>
      </c>
      <c r="J40" s="5" t="s">
        <v>50</v>
      </c>
      <c r="K40" s="1"/>
      <c r="L40" s="1" t="s">
        <v>165</v>
      </c>
      <c r="M40" s="1" t="s">
        <v>409</v>
      </c>
      <c r="O40" t="s">
        <v>410</v>
      </c>
      <c r="P40" t="str">
        <f>$E$32</f>
        <v>Подключение (технологическое присоединение) к системе теплоснабжения</v>
      </c>
      <c r="Q40" t="str">
        <f>IF($F$40="нет","без дифференциации",$I$40)</f>
        <v>Территория 4</v>
      </c>
      <c r="R40" t="str">
        <f>IF($J$40="нет","без дифференциации",$M$40)</f>
        <v>Дальнереченский  городской округ</v>
      </c>
      <c r="U40" t="s">
        <v>97</v>
      </c>
      <c r="Y40" t="s">
        <v>366</v>
      </c>
      <c r="Z40">
        <v>1705000</v>
      </c>
    </row>
    <row r="41" spans="1:26" ht="15" customHeight="1" x14ac:dyDescent="0.15">
      <c r="A41" s="1"/>
      <c r="B41" s="1"/>
      <c r="C41" s="5"/>
      <c r="D41" s="5"/>
      <c r="E41" s="5"/>
      <c r="F41" s="5"/>
      <c r="G41" s="5"/>
      <c r="H41" s="5"/>
      <c r="I41" s="5"/>
      <c r="J41" s="5"/>
      <c r="K41" s="1"/>
      <c r="L41" s="1"/>
      <c r="M41" s="1" t="s">
        <v>399</v>
      </c>
    </row>
    <row r="42" spans="1:26" ht="15" customHeight="1" x14ac:dyDescent="0.15">
      <c r="A42" s="1"/>
      <c r="B42" s="1"/>
      <c r="C42" s="5"/>
      <c r="D42" s="5"/>
      <c r="E42" s="5"/>
      <c r="F42" s="5"/>
      <c r="G42" s="5" t="s">
        <v>90</v>
      </c>
      <c r="H42" s="5" t="s">
        <v>79</v>
      </c>
      <c r="I42" s="5" t="str">
        <f>IF(U42="","",INDEX(TERRITORY_MR_LIST,MATCH(U42,TERRITORY_LIST_ID,0)))</f>
        <v>Территория 21</v>
      </c>
      <c r="J42" s="5" t="s">
        <v>50</v>
      </c>
      <c r="K42" s="1"/>
      <c r="L42" s="1" t="s">
        <v>165</v>
      </c>
      <c r="M42" s="1" t="s">
        <v>411</v>
      </c>
      <c r="O42" t="s">
        <v>412</v>
      </c>
      <c r="P42" t="str">
        <f>$E$32</f>
        <v>Подключение (технологическое присоединение) к системе теплоснабжения</v>
      </c>
      <c r="Q42" t="str">
        <f>IF($F$42="нет","без дифференциации",$I$42)</f>
        <v>Территория 21</v>
      </c>
      <c r="R42" t="str">
        <f>IF($J$42="нет","без дифференциации",$M$42)</f>
        <v>Пожарский муниципальное образование</v>
      </c>
      <c r="U42" t="s">
        <v>268</v>
      </c>
      <c r="Y42" t="s">
        <v>366</v>
      </c>
      <c r="Z42">
        <v>1705000</v>
      </c>
    </row>
    <row r="43" spans="1:26" ht="15" customHeight="1" x14ac:dyDescent="0.15">
      <c r="A43" s="1"/>
      <c r="B43" s="1"/>
      <c r="C43" s="5"/>
      <c r="D43" s="5"/>
      <c r="E43" s="5"/>
      <c r="F43" s="5"/>
      <c r="G43" s="5"/>
      <c r="H43" s="5"/>
      <c r="I43" s="5"/>
      <c r="J43" s="5"/>
      <c r="K43" s="1"/>
      <c r="L43" s="1"/>
      <c r="M43" s="1" t="s">
        <v>399</v>
      </c>
    </row>
    <row r="44" spans="1:26" ht="15" customHeight="1" x14ac:dyDescent="0.15">
      <c r="A44" s="1"/>
      <c r="B44" s="1"/>
      <c r="C44" s="5"/>
      <c r="D44" s="5"/>
      <c r="E44" s="5"/>
      <c r="F44" s="5"/>
      <c r="G44" s="5" t="s">
        <v>90</v>
      </c>
      <c r="H44" s="5" t="s">
        <v>80</v>
      </c>
      <c r="I44" s="5" t="str">
        <f>IF(U44="","",INDEX(TERRITORY_MR_LIST,MATCH(U44,TERRITORY_LIST_ID,0)))</f>
        <v>Территория 16</v>
      </c>
      <c r="J44" s="5" t="s">
        <v>50</v>
      </c>
      <c r="K44" s="1"/>
      <c r="L44" s="1" t="s">
        <v>165</v>
      </c>
      <c r="M44" s="1" t="s">
        <v>218</v>
      </c>
      <c r="O44" t="s">
        <v>413</v>
      </c>
      <c r="P44" t="str">
        <f>$E$32</f>
        <v>Подключение (технологическое присоединение) к системе теплоснабжения</v>
      </c>
      <c r="Q44" t="str">
        <f>IF($F$44="нет","без дифференциации",$I$44)</f>
        <v>Территория 16</v>
      </c>
      <c r="R44" t="str">
        <f>IF($J$44="нет","без дифференциации",$M$44)</f>
        <v>Михайловский муниципальный район</v>
      </c>
      <c r="U44" t="s">
        <v>216</v>
      </c>
      <c r="Y44" t="s">
        <v>366</v>
      </c>
      <c r="Z44">
        <v>1705000</v>
      </c>
    </row>
    <row r="45" spans="1:26" ht="15" customHeight="1" x14ac:dyDescent="0.15">
      <c r="A45" s="1"/>
      <c r="B45" s="1"/>
      <c r="C45" s="5"/>
      <c r="D45" s="5"/>
      <c r="E45" s="5"/>
      <c r="F45" s="5"/>
      <c r="G45" s="5"/>
      <c r="H45" s="5"/>
      <c r="I45" s="5"/>
      <c r="J45" s="5"/>
      <c r="K45" s="1"/>
      <c r="L45" s="1"/>
      <c r="M45" s="1" t="s">
        <v>399</v>
      </c>
    </row>
    <row r="46" spans="1:26" ht="15" customHeight="1" x14ac:dyDescent="0.15">
      <c r="A46" s="1"/>
      <c r="B46" s="1"/>
      <c r="C46" s="5"/>
      <c r="D46" s="5"/>
      <c r="E46" s="5"/>
      <c r="F46" s="5"/>
      <c r="G46" s="5" t="s">
        <v>90</v>
      </c>
      <c r="H46" s="5" t="s">
        <v>102</v>
      </c>
      <c r="I46" s="5" t="str">
        <f>IF(U46="","",INDEX(TERRITORY_MR_LIST,MATCH(U46,TERRITORY_LIST_ID,0)))</f>
        <v>Территория 22</v>
      </c>
      <c r="J46" s="5" t="s">
        <v>50</v>
      </c>
      <c r="K46" s="1"/>
      <c r="L46" s="1" t="s">
        <v>165</v>
      </c>
      <c r="M46" s="1" t="s">
        <v>414</v>
      </c>
      <c r="O46" t="s">
        <v>415</v>
      </c>
      <c r="P46" t="str">
        <f>$E$32</f>
        <v>Подключение (технологическое присоединение) к системе теплоснабжения</v>
      </c>
      <c r="Q46" t="str">
        <f>IF($F$46="нет","без дифференциации",$I$46)</f>
        <v>Территория 22</v>
      </c>
      <c r="R46" t="str">
        <f>IF($J$46="нет","без дифференциации",$M$46)</f>
        <v>Ханкайский муниципальный район</v>
      </c>
      <c r="U46" t="s">
        <v>273</v>
      </c>
      <c r="Y46" t="s">
        <v>366</v>
      </c>
      <c r="Z46">
        <v>1705000</v>
      </c>
    </row>
    <row r="47" spans="1:26" ht="15" customHeight="1" x14ac:dyDescent="0.15">
      <c r="A47" s="1"/>
      <c r="B47" s="1"/>
      <c r="C47" s="5"/>
      <c r="D47" s="5"/>
      <c r="E47" s="5"/>
      <c r="F47" s="5"/>
      <c r="G47" s="5"/>
      <c r="H47" s="5"/>
      <c r="I47" s="5"/>
      <c r="J47" s="5"/>
      <c r="K47" s="1"/>
      <c r="L47" s="1"/>
      <c r="M47" s="1" t="s">
        <v>399</v>
      </c>
    </row>
    <row r="48" spans="1:26" ht="15" customHeight="1" x14ac:dyDescent="0.15">
      <c r="A48" s="1"/>
      <c r="B48" s="1"/>
      <c r="C48" s="5"/>
      <c r="D48" s="5"/>
      <c r="E48" s="5"/>
      <c r="F48" s="5"/>
      <c r="G48" s="5" t="s">
        <v>90</v>
      </c>
      <c r="H48" s="5" t="s">
        <v>133</v>
      </c>
      <c r="I48" s="5" t="str">
        <f>IF(U48="","",INDEX(TERRITORY_MR_LIST,MATCH(U48,TERRITORY_LIST_ID,0)))</f>
        <v>Территория 7</v>
      </c>
      <c r="J48" s="5" t="s">
        <v>50</v>
      </c>
      <c r="K48" s="1"/>
      <c r="L48" s="1" t="s">
        <v>165</v>
      </c>
      <c r="M48" s="1" t="s">
        <v>127</v>
      </c>
      <c r="O48" t="s">
        <v>416</v>
      </c>
      <c r="P48" t="str">
        <f>$E$32</f>
        <v>Подключение (технологическое присоединение) к системе теплоснабжения</v>
      </c>
      <c r="Q48" t="str">
        <f>IF($F$48="нет","без дифференциации",$I$48)</f>
        <v>Территория 7</v>
      </c>
      <c r="R48" t="str">
        <f>IF($J$48="нет","без дифференциации",$M$48)</f>
        <v>Находкинский городской округ</v>
      </c>
      <c r="U48" t="s">
        <v>125</v>
      </c>
      <c r="Y48" t="s">
        <v>366</v>
      </c>
      <c r="Z48">
        <v>1705000</v>
      </c>
    </row>
    <row r="49" spans="1:26" ht="15" customHeight="1" x14ac:dyDescent="0.15">
      <c r="A49" s="1"/>
      <c r="B49" s="1"/>
      <c r="C49" s="5"/>
      <c r="D49" s="5"/>
      <c r="E49" s="5"/>
      <c r="F49" s="5"/>
      <c r="G49" s="5"/>
      <c r="H49" s="5"/>
      <c r="I49" s="5"/>
      <c r="J49" s="5"/>
      <c r="K49" s="1"/>
      <c r="L49" s="1"/>
      <c r="M49" s="1" t="s">
        <v>399</v>
      </c>
    </row>
    <row r="50" spans="1:26" ht="15" customHeight="1" x14ac:dyDescent="0.15">
      <c r="A50" s="1"/>
      <c r="B50" s="1"/>
      <c r="C50" s="5"/>
      <c r="D50" s="5"/>
      <c r="E50" s="5"/>
      <c r="F50" s="5"/>
      <c r="G50" s="5" t="s">
        <v>90</v>
      </c>
      <c r="H50" s="5" t="s">
        <v>106</v>
      </c>
      <c r="I50" s="5" t="str">
        <f>IF(U50="","",INDEX(TERRITORY_MR_LIST,MATCH(U50,TERRITORY_LIST_ID,0)))</f>
        <v>Территория 15</v>
      </c>
      <c r="J50" s="5" t="s">
        <v>50</v>
      </c>
      <c r="K50" s="1"/>
      <c r="L50" s="1" t="s">
        <v>165</v>
      </c>
      <c r="M50" s="1" t="s">
        <v>417</v>
      </c>
      <c r="O50" t="s">
        <v>418</v>
      </c>
      <c r="P50" t="str">
        <f>$E$32</f>
        <v>Подключение (технологическое присоединение) к системе теплоснабжения</v>
      </c>
      <c r="Q50" t="str">
        <f>IF($F$50="нет","без дифференциации",$I$50)</f>
        <v>Территория 15</v>
      </c>
      <c r="R50" t="str">
        <f>IF($J$50="нет","без дифференциации",$M$50)</f>
        <v>Лазовский МО</v>
      </c>
      <c r="U50" t="s">
        <v>212</v>
      </c>
      <c r="Y50" t="s">
        <v>366</v>
      </c>
      <c r="Z50">
        <v>1705000</v>
      </c>
    </row>
    <row r="51" spans="1:26" ht="15" customHeight="1" x14ac:dyDescent="0.15">
      <c r="A51" s="1"/>
      <c r="B51" s="1"/>
      <c r="C51" s="5"/>
      <c r="D51" s="5"/>
      <c r="E51" s="5"/>
      <c r="F51" s="5"/>
      <c r="G51" s="5"/>
      <c r="H51" s="5"/>
      <c r="I51" s="5"/>
      <c r="J51" s="5"/>
      <c r="K51" s="1"/>
      <c r="L51" s="1"/>
      <c r="M51" s="1" t="s">
        <v>399</v>
      </c>
    </row>
    <row r="52" spans="1:26" ht="15" customHeight="1" x14ac:dyDescent="0.15">
      <c r="A52" s="1"/>
      <c r="B52" s="1"/>
      <c r="C52" s="5"/>
      <c r="D52" s="5"/>
      <c r="E52" s="5"/>
      <c r="F52" s="5"/>
      <c r="G52" s="5" t="s">
        <v>90</v>
      </c>
      <c r="H52" s="5" t="s">
        <v>163</v>
      </c>
      <c r="I52" s="5" t="str">
        <f>IF(U52="","",INDEX(TERRITORY_MR_LIST,MATCH(U52,TERRITORY_LIST_ID,0)))</f>
        <v>Территория 32</v>
      </c>
      <c r="J52" s="5" t="s">
        <v>50</v>
      </c>
      <c r="K52" s="1"/>
      <c r="L52" s="1" t="s">
        <v>165</v>
      </c>
      <c r="M52" s="1" t="s">
        <v>347</v>
      </c>
      <c r="O52" t="s">
        <v>419</v>
      </c>
      <c r="P52" t="str">
        <f>$E$32</f>
        <v>Подключение (технологическое присоединение) к системе теплоснабжения</v>
      </c>
      <c r="Q52" t="str">
        <f>IF($F$52="нет","без дифференциации",$I$52)</f>
        <v>Территория 32</v>
      </c>
      <c r="R52" t="str">
        <f>IF($J$52="нет","без дифференциации",$M$52)</f>
        <v>Арсеньевский городской округ</v>
      </c>
      <c r="U52" t="s">
        <v>346</v>
      </c>
      <c r="Y52" t="s">
        <v>366</v>
      </c>
      <c r="Z52">
        <v>1705000</v>
      </c>
    </row>
    <row r="53" spans="1:26" ht="15" customHeight="1" x14ac:dyDescent="0.15">
      <c r="A53" s="1"/>
      <c r="B53" s="1"/>
      <c r="C53" s="5"/>
      <c r="D53" s="5"/>
      <c r="E53" s="5"/>
      <c r="F53" s="5"/>
      <c r="G53" s="5"/>
      <c r="H53" s="5"/>
      <c r="I53" s="5"/>
      <c r="J53" s="5"/>
      <c r="K53" s="1"/>
      <c r="L53" s="1"/>
      <c r="M53" s="1" t="s">
        <v>399</v>
      </c>
    </row>
    <row r="54" spans="1:26" ht="15" customHeight="1" x14ac:dyDescent="0.15">
      <c r="A54" s="1"/>
      <c r="B54" s="1"/>
      <c r="C54" s="5"/>
      <c r="D54" s="5"/>
      <c r="E54" s="5"/>
      <c r="F54" s="5"/>
      <c r="G54" s="5" t="s">
        <v>90</v>
      </c>
      <c r="H54" s="5" t="s">
        <v>109</v>
      </c>
      <c r="I54" s="5" t="str">
        <f>IF(U54="","",INDEX(TERRITORY_MR_LIST,MATCH(U54,TERRITORY_LIST_ID,0)))</f>
        <v>Территория 1</v>
      </c>
      <c r="J54" s="5" t="s">
        <v>50</v>
      </c>
      <c r="K54" s="1"/>
      <c r="L54" s="1" t="s">
        <v>165</v>
      </c>
      <c r="M54" s="1" t="s">
        <v>86</v>
      </c>
      <c r="O54" t="s">
        <v>420</v>
      </c>
      <c r="P54" t="str">
        <f>$E$32</f>
        <v>Подключение (технологическое присоединение) к системе теплоснабжения</v>
      </c>
      <c r="Q54" t="str">
        <f>IF($F$54="нет","без дифференциации",$I$54)</f>
        <v>Территория 1</v>
      </c>
      <c r="R54" t="str">
        <f>IF($J$54="нет","без дифференциации",$M$54)</f>
        <v>Артемовский городской округ</v>
      </c>
      <c r="U54" t="s">
        <v>85</v>
      </c>
      <c r="Y54" t="s">
        <v>366</v>
      </c>
      <c r="Z54">
        <v>1705000</v>
      </c>
    </row>
    <row r="55" spans="1:26" ht="15" customHeight="1" x14ac:dyDescent="0.15">
      <c r="A55" s="1"/>
      <c r="B55" s="1"/>
      <c r="C55" s="5"/>
      <c r="D55" s="5"/>
      <c r="E55" s="5"/>
      <c r="F55" s="5"/>
      <c r="G55" s="5"/>
      <c r="H55" s="5"/>
      <c r="I55" s="5"/>
      <c r="J55" s="5"/>
      <c r="K55" s="1"/>
      <c r="L55" s="1"/>
      <c r="M55" s="1" t="s">
        <v>399</v>
      </c>
    </row>
    <row r="56" spans="1:26" ht="15" customHeight="1" x14ac:dyDescent="0.15">
      <c r="A56" s="1"/>
      <c r="B56" s="1"/>
      <c r="C56" s="5"/>
      <c r="D56" s="5"/>
      <c r="E56" s="5"/>
      <c r="F56" s="5"/>
      <c r="G56" s="5" t="s">
        <v>90</v>
      </c>
      <c r="H56" s="5" t="s">
        <v>112</v>
      </c>
      <c r="I56" s="5" t="str">
        <f>IF(U56="","",INDEX(TERRITORY_MR_LIST,MATCH(U56,TERRITORY_LIST_ID,0)))</f>
        <v>Территория 17</v>
      </c>
      <c r="J56" s="5" t="s">
        <v>50</v>
      </c>
      <c r="K56" s="1"/>
      <c r="L56" s="1" t="s">
        <v>165</v>
      </c>
      <c r="M56" s="1" t="s">
        <v>244</v>
      </c>
      <c r="O56" t="s">
        <v>421</v>
      </c>
      <c r="P56" t="str">
        <f>$E$32</f>
        <v>Подключение (технологическое присоединение) к системе теплоснабжения</v>
      </c>
      <c r="Q56" t="str">
        <f>IF($F$56="нет","без дифференциации",$I$56)</f>
        <v>Территория 17</v>
      </c>
      <c r="R56" t="str">
        <f>IF($J$56="нет","без дифференциации",$M$56)</f>
        <v>Надеждинский муниципальный район</v>
      </c>
      <c r="U56" t="s">
        <v>242</v>
      </c>
      <c r="Y56" t="s">
        <v>366</v>
      </c>
      <c r="Z56">
        <v>1705000</v>
      </c>
    </row>
    <row r="57" spans="1:26" ht="15" customHeight="1" x14ac:dyDescent="0.15">
      <c r="A57" s="1"/>
      <c r="B57" s="1"/>
      <c r="C57" s="5"/>
      <c r="D57" s="5"/>
      <c r="E57" s="5"/>
      <c r="F57" s="5"/>
      <c r="G57" s="5"/>
      <c r="H57" s="5"/>
      <c r="I57" s="5"/>
      <c r="J57" s="5"/>
      <c r="K57" s="1"/>
      <c r="L57" s="1"/>
      <c r="M57" s="1" t="s">
        <v>399</v>
      </c>
    </row>
    <row r="58" spans="1:26" ht="15" customHeight="1" x14ac:dyDescent="0.15">
      <c r="A58" s="1"/>
      <c r="B58" s="1"/>
      <c r="C58" s="5"/>
      <c r="D58" s="5"/>
      <c r="E58" s="5"/>
      <c r="F58" s="5"/>
      <c r="G58" s="5" t="s">
        <v>90</v>
      </c>
      <c r="H58" s="5" t="s">
        <v>115</v>
      </c>
      <c r="I58" s="5" t="str">
        <f>IF(U58="","",INDEX(TERRITORY_MR_LIST,MATCH(U58,TERRITORY_LIST_ID,0)))</f>
        <v>Территория 23</v>
      </c>
      <c r="J58" s="5" t="s">
        <v>50</v>
      </c>
      <c r="K58" s="1"/>
      <c r="L58" s="1" t="s">
        <v>165</v>
      </c>
      <c r="M58" s="1" t="s">
        <v>422</v>
      </c>
      <c r="O58" t="s">
        <v>423</v>
      </c>
      <c r="P58" t="str">
        <f>$E$32</f>
        <v>Подключение (технологическое присоединение) к системе теплоснабжения</v>
      </c>
      <c r="Q58" t="str">
        <f>IF($F$58="нет","без дифференциации",$I$58)</f>
        <v>Территория 23</v>
      </c>
      <c r="R58" t="str">
        <f>IF($J$58="нет","без дифференциации",$M$58)</f>
        <v>Приморское городское поселение</v>
      </c>
      <c r="U58" t="s">
        <v>277</v>
      </c>
      <c r="Y58" t="s">
        <v>366</v>
      </c>
      <c r="Z58">
        <v>1705000</v>
      </c>
    </row>
    <row r="59" spans="1:26" ht="15" customHeight="1" x14ac:dyDescent="0.15">
      <c r="A59" s="1"/>
      <c r="B59" s="1"/>
      <c r="C59" s="5"/>
      <c r="D59" s="5"/>
      <c r="E59" s="5"/>
      <c r="F59" s="5"/>
      <c r="G59" s="5"/>
      <c r="H59" s="5"/>
      <c r="I59" s="5"/>
      <c r="J59" s="5"/>
      <c r="K59" s="1" t="s">
        <v>90</v>
      </c>
      <c r="L59" s="1" t="s">
        <v>89</v>
      </c>
      <c r="M59" s="1" t="s">
        <v>424</v>
      </c>
      <c r="O59" t="s">
        <v>425</v>
      </c>
      <c r="P59" t="str">
        <f>$E$32</f>
        <v>Подключение (технологическое присоединение) к системе теплоснабжения</v>
      </c>
      <c r="Q59" t="str">
        <f>IF($F$58="нет","без дифференциации",$I$58)</f>
        <v>Территория 23</v>
      </c>
      <c r="R59" t="str">
        <f>IF($J$59="нет","без дифференциации",$M$59)</f>
        <v xml:space="preserve">Безверховское сельское поселение </v>
      </c>
      <c r="Y59" t="s">
        <v>366</v>
      </c>
      <c r="Z59">
        <v>1705000</v>
      </c>
    </row>
    <row r="60" spans="1:26" ht="15" customHeight="1" x14ac:dyDescent="0.15">
      <c r="A60" s="1"/>
      <c r="B60" s="1"/>
      <c r="C60" s="5"/>
      <c r="D60" s="5"/>
      <c r="E60" s="5"/>
      <c r="F60" s="5"/>
      <c r="G60" s="5"/>
      <c r="H60" s="5"/>
      <c r="I60" s="5"/>
      <c r="J60" s="5"/>
      <c r="K60" s="1"/>
      <c r="L60" s="1"/>
      <c r="M60" s="1" t="s">
        <v>399</v>
      </c>
    </row>
    <row r="61" spans="1:26" ht="15" customHeight="1" x14ac:dyDescent="0.15">
      <c r="A61" s="1"/>
      <c r="B61" s="1"/>
      <c r="C61" s="5"/>
      <c r="D61" s="5"/>
      <c r="E61" s="5"/>
      <c r="F61" s="5"/>
      <c r="G61" s="1"/>
      <c r="H61" s="1"/>
      <c r="I61" s="1" t="s">
        <v>400</v>
      </c>
      <c r="J61" s="1"/>
      <c r="K61" s="1"/>
      <c r="L61" s="1"/>
      <c r="M61" s="1"/>
    </row>
    <row r="62" spans="1:26" ht="50.25" customHeight="1" x14ac:dyDescent="0.15">
      <c r="A62" s="1"/>
      <c r="B62" s="1"/>
      <c r="C62" s="5" t="s">
        <v>90</v>
      </c>
      <c r="D62" s="5" t="s">
        <v>77</v>
      </c>
      <c r="E62" s="5" t="str">
        <f>INDEX(VD_NAME_LIST,MATCH("4190068",VD_ID_LIST,0))</f>
        <v>Передача. Тепловая энергия</v>
      </c>
      <c r="F62" s="5" t="s">
        <v>50</v>
      </c>
      <c r="G62" s="5"/>
      <c r="H62" s="5">
        <v>1</v>
      </c>
      <c r="I62" s="5" t="str">
        <f>IF($U$62="","",INDEX(TERRITORY_MR_LIST,MATCH($U$62,TERRITORY_LIST_ID,0)))</f>
        <v>Территория 1</v>
      </c>
      <c r="J62" s="5" t="s">
        <v>50</v>
      </c>
      <c r="K62" s="1"/>
      <c r="L62" s="1" t="s">
        <v>165</v>
      </c>
      <c r="M62" s="1" t="s">
        <v>426</v>
      </c>
      <c r="O62" t="s">
        <v>427</v>
      </c>
      <c r="P62" t="str">
        <f>$E$62</f>
        <v>Передача. Тепловая энергия</v>
      </c>
      <c r="Q62" t="str">
        <f>IF($F$62="нет","без дифференциации",$I$62)</f>
        <v>Территория 1</v>
      </c>
      <c r="R62" t="str">
        <f>IF($J$62="нет","без дифференциации",$M$62)</f>
        <v xml:space="preserve">Лесозаводский городской округ, Лесозаводский городской округ (05711000);
</v>
      </c>
      <c r="U62" t="s">
        <v>85</v>
      </c>
      <c r="V62" t="s">
        <v>428</v>
      </c>
      <c r="Y62" t="s">
        <v>366</v>
      </c>
      <c r="Z62">
        <v>1705000</v>
      </c>
    </row>
    <row r="63" spans="1:26" ht="13.5" customHeight="1" x14ac:dyDescent="0.15">
      <c r="A63" s="1"/>
      <c r="B63" s="1"/>
      <c r="C63" s="5"/>
      <c r="D63" s="5"/>
      <c r="E63" s="5"/>
      <c r="F63" s="5"/>
      <c r="G63" s="5"/>
      <c r="H63" s="5"/>
      <c r="I63" s="5" t="str">
        <f>IF($U$62="","",INDEX(TERRITORY_MR_LIST,MATCH($U$62,TERRITORY_LIST_ID,0)))</f>
        <v>Территория 1</v>
      </c>
      <c r="J63" s="5"/>
      <c r="K63" s="1"/>
      <c r="L63" s="1"/>
      <c r="M63" s="1" t="s">
        <v>399</v>
      </c>
    </row>
    <row r="64" spans="1:26" ht="15" customHeight="1" x14ac:dyDescent="0.15">
      <c r="A64" s="1"/>
      <c r="B64" s="1"/>
      <c r="C64" s="5"/>
      <c r="D64" s="5"/>
      <c r="E64" s="5"/>
      <c r="F64" s="5"/>
      <c r="G64" s="1"/>
      <c r="H64" s="1"/>
      <c r="I64" s="1" t="s">
        <v>400</v>
      </c>
      <c r="J64" s="1"/>
      <c r="K64" s="1"/>
      <c r="L64" s="1"/>
      <c r="M64" s="1"/>
    </row>
    <row r="65" spans="1:13" ht="15" customHeight="1" x14ac:dyDescent="0.15">
      <c r="A65" s="1"/>
      <c r="B65" s="1"/>
      <c r="C65" s="1"/>
      <c r="D65" s="1"/>
      <c r="E65" s="1" t="s">
        <v>429</v>
      </c>
      <c r="F65" s="1"/>
      <c r="G65" s="1"/>
      <c r="H65" s="1"/>
      <c r="I65" s="1"/>
      <c r="J65" s="1"/>
      <c r="K65" s="1" t="s">
        <v>4</v>
      </c>
      <c r="L65" s="1"/>
      <c r="M65" s="1"/>
    </row>
    <row r="66" spans="1:13" ht="11.25" customHeight="1" x14ac:dyDescent="0.15">
      <c r="A66" s="1"/>
      <c r="B66" s="1"/>
      <c r="C66" s="1"/>
      <c r="D66" s="1"/>
      <c r="E66" s="1"/>
      <c r="F66" s="1"/>
      <c r="G66" s="1"/>
      <c r="H66" s="1"/>
      <c r="I66" s="1"/>
      <c r="J66" s="1"/>
      <c r="K66" s="1"/>
      <c r="L66" s="1"/>
      <c r="M66" s="1"/>
    </row>
    <row r="67" spans="1:13" ht="11.25" customHeight="1" x14ac:dyDescent="0.15">
      <c r="A67" s="1"/>
      <c r="B67" s="1"/>
      <c r="C67" s="1"/>
      <c r="D67" s="1"/>
      <c r="E67" s="1"/>
      <c r="F67" s="1"/>
      <c r="G67" s="1"/>
      <c r="H67" s="1"/>
      <c r="I67" s="1"/>
      <c r="J67" s="1"/>
      <c r="K67" s="1"/>
      <c r="L67" s="1"/>
      <c r="M67" s="1"/>
    </row>
    <row r="68" spans="1:13" ht="11.25" customHeight="1" x14ac:dyDescent="0.15">
      <c r="A68" s="1"/>
      <c r="B68" s="1"/>
      <c r="C68" s="1"/>
      <c r="D68" s="1"/>
      <c r="E68" s="1"/>
      <c r="F68" s="1"/>
      <c r="G68" s="1"/>
      <c r="H68" s="1"/>
      <c r="I68" s="1"/>
      <c r="J68" s="1"/>
      <c r="K68" s="1"/>
      <c r="L68" s="1"/>
      <c r="M68" s="1"/>
    </row>
  </sheetData>
  <sheetProtection formatColumns="0" formatRows="0" insertRows="0" deleteColumns="0" deleteRows="0" sort="0" autoFilter="0"/>
  <mergeCells count="87">
    <mergeCell ref="G11:H11"/>
    <mergeCell ref="K11:L11"/>
    <mergeCell ref="D4:I4"/>
    <mergeCell ref="D5:I5"/>
    <mergeCell ref="A6:F6"/>
    <mergeCell ref="A9:A10"/>
    <mergeCell ref="D9:E9"/>
    <mergeCell ref="F9:I9"/>
    <mergeCell ref="E7:M7"/>
    <mergeCell ref="J9:M9"/>
    <mergeCell ref="G10:H10"/>
    <mergeCell ref="K10:L10"/>
    <mergeCell ref="I13:I30"/>
    <mergeCell ref="J13:J30"/>
    <mergeCell ref="D13:D31"/>
    <mergeCell ref="E13:E31"/>
    <mergeCell ref="F13:F31"/>
    <mergeCell ref="G13:G30"/>
    <mergeCell ref="H13:H30"/>
    <mergeCell ref="D32:D61"/>
    <mergeCell ref="E32:E61"/>
    <mergeCell ref="F32:F61"/>
    <mergeCell ref="G32:G33"/>
    <mergeCell ref="H32:H33"/>
    <mergeCell ref="H36:H37"/>
    <mergeCell ref="G40:G41"/>
    <mergeCell ref="H40:H41"/>
    <mergeCell ref="G44:G45"/>
    <mergeCell ref="H44:H45"/>
    <mergeCell ref="G48:G49"/>
    <mergeCell ref="H48:H49"/>
    <mergeCell ref="G52:G53"/>
    <mergeCell ref="H52:H53"/>
    <mergeCell ref="G56:G57"/>
    <mergeCell ref="H56:H57"/>
    <mergeCell ref="I32:I33"/>
    <mergeCell ref="J32:J33"/>
    <mergeCell ref="C32:C61"/>
    <mergeCell ref="D62:D64"/>
    <mergeCell ref="E62:E64"/>
    <mergeCell ref="F62:F64"/>
    <mergeCell ref="G62:G63"/>
    <mergeCell ref="H62:H63"/>
    <mergeCell ref="I62:I63"/>
    <mergeCell ref="J62:J63"/>
    <mergeCell ref="C62:C64"/>
    <mergeCell ref="G34:G35"/>
    <mergeCell ref="H34:H35"/>
    <mergeCell ref="I34:I35"/>
    <mergeCell ref="J34:J35"/>
    <mergeCell ref="G36:G37"/>
    <mergeCell ref="I36:I37"/>
    <mergeCell ref="J36:J37"/>
    <mergeCell ref="G38:G39"/>
    <mergeCell ref="H38:H39"/>
    <mergeCell ref="I38:I39"/>
    <mergeCell ref="J38:J39"/>
    <mergeCell ref="I40:I41"/>
    <mergeCell ref="J40:J41"/>
    <mergeCell ref="G42:G43"/>
    <mergeCell ref="H42:H43"/>
    <mergeCell ref="I42:I43"/>
    <mergeCell ref="J42:J43"/>
    <mergeCell ref="I44:I45"/>
    <mergeCell ref="J44:J45"/>
    <mergeCell ref="G46:G47"/>
    <mergeCell ref="H46:H47"/>
    <mergeCell ref="I46:I47"/>
    <mergeCell ref="J46:J47"/>
    <mergeCell ref="I48:I49"/>
    <mergeCell ref="J48:J49"/>
    <mergeCell ref="G50:G51"/>
    <mergeCell ref="H50:H51"/>
    <mergeCell ref="I50:I51"/>
    <mergeCell ref="J50:J51"/>
    <mergeCell ref="I52:I53"/>
    <mergeCell ref="J52:J53"/>
    <mergeCell ref="G54:G55"/>
    <mergeCell ref="H54:H55"/>
    <mergeCell ref="I54:I55"/>
    <mergeCell ref="J54:J55"/>
    <mergeCell ref="I56:I57"/>
    <mergeCell ref="J56:J57"/>
    <mergeCell ref="G58:G60"/>
    <mergeCell ref="H58:H60"/>
    <mergeCell ref="I58:I60"/>
    <mergeCell ref="J58:J60"/>
  </mergeCells>
  <dataValidations count="50">
    <dataValidation type="textLength" operator="lessThan" allowBlank="1" showInputMessage="1" showErrorMessage="1" error="Допускается ввод не более 900 символов!" sqref="M62">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4">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8">
      <formula1>900</formula1>
    </dataValidation>
    <dataValidation type="textLength" operator="lessThan" allowBlank="1" showInputMessage="1" showErrorMessage="1" error="Допускается ввод не более 900 символов!" sqref="M50">
      <formula1>900</formula1>
    </dataValidation>
    <dataValidation type="textLength" operator="lessThan" allowBlank="1" showInputMessage="1" showErrorMessage="1" error="Допускается ввод не более 900 символов!" sqref="M52">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54">
      <formula1>900</formula1>
    </dataValidation>
    <dataValidation type="textLength" operator="lessThan" allowBlank="1" showInputMessage="1" showErrorMessage="1"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list" allowBlank="1" showInputMessage="1" showErrorMessage="1" sqref="I59">
      <formula1>DESCRIPTION_TERRITORY</formula1>
    </dataValidation>
    <dataValidation type="textLength" operator="lessThanOrEqual" allowBlank="1" showInputMessage="1" showErrorMessage="1" errorTitle="Ошибка" error="Допускается ввод не более 900 символов!" sqref="M59">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21"/>
  <sheetViews>
    <sheetView showGridLines="0" topLeftCell="C4" zoomScale="90" workbookViewId="0"/>
  </sheetViews>
  <sheetFormatPr defaultColWidth="9.140625" defaultRowHeight="11.25" customHeight="1" x14ac:dyDescent="0.15"/>
  <cols>
    <col min="1" max="2" width="3.7109375" hidden="1" customWidth="1"/>
    <col min="3" max="3" width="3.7109375" customWidth="1"/>
    <col min="4" max="4" width="6.140625" customWidth="1"/>
    <col min="5" max="5" width="43.140625" customWidth="1"/>
    <col min="6" max="6" width="15" customWidth="1"/>
    <col min="7" max="7" width="43.140625" customWidth="1"/>
    <col min="8" max="8" width="3.7109375" customWidth="1"/>
    <col min="9" max="9" width="5.42578125" customWidth="1"/>
    <col min="10" max="10" width="47.85546875" customWidth="1"/>
    <col min="11" max="12" width="3.7109375" customWidth="1"/>
    <col min="13" max="13" width="5.7109375" customWidth="1"/>
    <col min="14" max="14" width="28.140625" customWidth="1"/>
    <col min="15" max="16" width="3.7109375" customWidth="1"/>
    <col min="17" max="17" width="5.7109375" customWidth="1"/>
    <col min="18" max="18" width="34.42578125" customWidth="1"/>
    <col min="19" max="20" width="3.7109375" customWidth="1"/>
    <col min="21" max="21" width="5.7109375" customWidth="1"/>
    <col min="22" max="22" width="34.42578125" customWidth="1"/>
    <col min="23" max="23" width="30.7109375" customWidth="1"/>
    <col min="24" max="24" width="3.7109375" customWidth="1"/>
    <col min="25" max="28" width="9.85546875" hidden="1" customWidth="1"/>
    <col min="29" max="29" width="16.85546875" hidden="1" customWidth="1"/>
    <col min="30" max="30" width="10.5703125" hidden="1" customWidth="1"/>
    <col min="31" max="31" width="10.7109375" hidden="1" customWidth="1"/>
    <col min="32" max="32" width="10" hidden="1" customWidth="1"/>
    <col min="33" max="33" width="12.85546875" hidden="1" customWidth="1"/>
    <col min="34" max="34" width="10.28515625" hidden="1" customWidth="1"/>
    <col min="35" max="35" width="15.85546875" hidden="1" customWidth="1"/>
    <col min="36" max="36" width="19.42578125" hidden="1" customWidth="1"/>
    <col min="37" max="37" width="11" hidden="1" customWidth="1"/>
    <col min="38" max="38" width="23.5703125" hidden="1" customWidth="1"/>
    <col min="39" max="39" width="23.85546875" hidden="1" customWidth="1"/>
    <col min="40" max="40" width="25.28515625" hidden="1" customWidth="1"/>
    <col min="41" max="41" width="16.85546875" hidden="1" customWidth="1"/>
    <col min="42" max="42" width="29.5703125" hidden="1" customWidth="1"/>
    <col min="43" max="43" width="29.85546875" hidden="1" customWidth="1"/>
  </cols>
  <sheetData>
    <row r="1" spans="4:43" ht="11.25" hidden="1" customHeight="1" x14ac:dyDescent="0.15"/>
    <row r="2" spans="4:43" ht="11.25" hidden="1" customHeight="1" x14ac:dyDescent="0.15"/>
    <row r="3" spans="4:43" ht="11.25" hidden="1" customHeight="1" x14ac:dyDescent="0.15"/>
    <row r="4" spans="4:43" ht="3" customHeight="1" x14ac:dyDescent="0.15"/>
    <row r="5" spans="4:43" ht="39" customHeight="1" x14ac:dyDescent="0.15">
      <c r="D5" s="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6"/>
      <c r="F5" s="6"/>
      <c r="G5" s="6"/>
      <c r="H5" s="6"/>
      <c r="I5" s="6"/>
      <c r="J5" s="6"/>
    </row>
    <row r="6" spans="4:43" ht="15" customHeight="1" x14ac:dyDescent="0.15">
      <c r="D6" s="6" t="str">
        <f>IF(org=0,"Не определено",org)</f>
        <v>КГУП "Примтеплоэнерго"</v>
      </c>
      <c r="E6" s="6"/>
      <c r="F6" s="6"/>
      <c r="G6" s="6"/>
      <c r="H6" s="6"/>
      <c r="I6" s="6"/>
      <c r="J6" s="6"/>
    </row>
    <row r="7" spans="4:43" ht="11.25" customHeight="1" x14ac:dyDescent="0.15">
      <c r="D7" s="6"/>
      <c r="E7" s="6"/>
      <c r="F7" s="6"/>
      <c r="G7" s="6"/>
      <c r="H7" s="6"/>
      <c r="I7" s="6"/>
      <c r="J7" s="6"/>
    </row>
    <row r="8" spans="4:43" ht="0.75" customHeight="1" x14ac:dyDescent="0.15"/>
    <row r="9" spans="4:43" ht="27" customHeight="1" x14ac:dyDescent="0.15">
      <c r="D9" s="6" t="s">
        <v>75</v>
      </c>
      <c r="E9" s="6" t="s">
        <v>430</v>
      </c>
      <c r="F9" s="6"/>
      <c r="G9" s="6" t="s">
        <v>355</v>
      </c>
      <c r="H9" s="6" t="s">
        <v>75</v>
      </c>
      <c r="I9" s="6"/>
      <c r="J9" s="6" t="s">
        <v>431</v>
      </c>
      <c r="K9" s="6" t="s">
        <v>432</v>
      </c>
      <c r="L9" s="6"/>
      <c r="M9" s="6"/>
      <c r="N9" s="6"/>
      <c r="O9" s="6" t="s">
        <v>433</v>
      </c>
      <c r="P9" s="6"/>
      <c r="Q9" s="6"/>
      <c r="R9" s="6"/>
      <c r="S9" s="6" t="s">
        <v>434</v>
      </c>
      <c r="T9" s="6"/>
      <c r="U9" s="6"/>
      <c r="V9" s="6"/>
      <c r="W9" s="6" t="s">
        <v>435</v>
      </c>
    </row>
    <row r="10" spans="4:43" ht="30" customHeight="1" x14ac:dyDescent="0.15">
      <c r="D10" s="6"/>
      <c r="E10" t="s">
        <v>76</v>
      </c>
      <c r="F10" t="s">
        <v>436</v>
      </c>
      <c r="G10" s="6"/>
      <c r="H10" s="6"/>
      <c r="I10" s="6"/>
      <c r="J10" s="6"/>
      <c r="K10" t="s">
        <v>358</v>
      </c>
      <c r="L10" s="6" t="s">
        <v>75</v>
      </c>
      <c r="M10" s="6"/>
      <c r="N10" t="s">
        <v>437</v>
      </c>
      <c r="O10" t="s">
        <v>358</v>
      </c>
      <c r="P10" s="6" t="s">
        <v>75</v>
      </c>
      <c r="Q10" s="6"/>
      <c r="R10" t="s">
        <v>437</v>
      </c>
      <c r="S10" t="s">
        <v>358</v>
      </c>
      <c r="T10" s="6" t="s">
        <v>75</v>
      </c>
      <c r="U10" s="6"/>
      <c r="V10" t="s">
        <v>76</v>
      </c>
      <c r="W10" s="6"/>
      <c r="Z10" t="s">
        <v>438</v>
      </c>
      <c r="AA10" t="s">
        <v>439</v>
      </c>
      <c r="AB10" t="s">
        <v>440</v>
      </c>
      <c r="AC10" t="s">
        <v>441</v>
      </c>
      <c r="AD10" t="s">
        <v>442</v>
      </c>
      <c r="AE10" t="s">
        <v>443</v>
      </c>
      <c r="AF10" t="s">
        <v>444</v>
      </c>
      <c r="AG10" t="s">
        <v>445</v>
      </c>
      <c r="AH10" t="s">
        <v>446</v>
      </c>
      <c r="AI10" t="s">
        <v>447</v>
      </c>
      <c r="AJ10" t="s">
        <v>448</v>
      </c>
      <c r="AK10" t="s">
        <v>449</v>
      </c>
      <c r="AL10" t="s">
        <v>450</v>
      </c>
      <c r="AM10" t="s">
        <v>451</v>
      </c>
      <c r="AN10" t="s">
        <v>452</v>
      </c>
      <c r="AO10" t="s">
        <v>453</v>
      </c>
      <c r="AP10" t="s">
        <v>454</v>
      </c>
      <c r="AQ10" t="s">
        <v>455</v>
      </c>
    </row>
    <row r="11" spans="4:43" ht="12" hidden="1" customHeight="1" x14ac:dyDescent="0.15">
      <c r="D11" t="s">
        <v>165</v>
      </c>
      <c r="E11" t="s">
        <v>89</v>
      </c>
      <c r="G11" t="s">
        <v>77</v>
      </c>
      <c r="H11" s="6" t="s">
        <v>100</v>
      </c>
      <c r="I11" s="6"/>
      <c r="J11" t="s">
        <v>79</v>
      </c>
      <c r="K11" t="s">
        <v>80</v>
      </c>
      <c r="L11" s="6" t="s">
        <v>102</v>
      </c>
      <c r="M11" s="6"/>
      <c r="N11" t="s">
        <v>133</v>
      </c>
      <c r="O11" t="s">
        <v>106</v>
      </c>
      <c r="P11" s="6" t="s">
        <v>163</v>
      </c>
      <c r="Q11" s="6"/>
      <c r="R11" t="s">
        <v>109</v>
      </c>
      <c r="S11" t="s">
        <v>163</v>
      </c>
      <c r="T11" s="6" t="s">
        <v>109</v>
      </c>
      <c r="U11" s="6"/>
      <c r="V11" t="s">
        <v>112</v>
      </c>
      <c r="W11" t="s">
        <v>115</v>
      </c>
    </row>
    <row r="12" spans="4:43" ht="14.25" hidden="1" customHeight="1" x14ac:dyDescent="0.15">
      <c r="D12">
        <v>0</v>
      </c>
    </row>
    <row r="13" spans="4:43" ht="17.25" hidden="1" customHeight="1" x14ac:dyDescent="0.15">
      <c r="D13" s="6">
        <v>1</v>
      </c>
      <c r="E13" s="6" t="s">
        <v>456</v>
      </c>
      <c r="F13" s="6" t="s">
        <v>43</v>
      </c>
      <c r="G13" s="6"/>
      <c r="H13" s="6"/>
      <c r="I13" s="6"/>
      <c r="J13" s="6"/>
      <c r="K13" s="6"/>
      <c r="L13" s="6"/>
      <c r="M13" s="6"/>
      <c r="N13" s="6"/>
      <c r="O13" s="6"/>
      <c r="P13" s="6"/>
      <c r="Q13" s="6"/>
      <c r="R13" s="6"/>
      <c r="S13" s="6"/>
      <c r="AC13" t="s">
        <v>457</v>
      </c>
      <c r="AD13" t="s">
        <v>458</v>
      </c>
      <c r="AE13" t="s">
        <v>459</v>
      </c>
      <c r="AF13" t="s">
        <v>460</v>
      </c>
      <c r="AG13" t="s">
        <v>461</v>
      </c>
      <c r="AH1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t="str">
        <f>IF($G$13=0,"",$G$13)</f>
        <v/>
      </c>
      <c r="AJ13" t="str">
        <f>IF($J$13=0,"",$J$13)</f>
        <v/>
      </c>
      <c r="AK13" t="str">
        <f>IF($K$13="нет","без дифференциации",IF($N$13=0,"",$N$13))</f>
        <v/>
      </c>
      <c r="AL13" t="str">
        <f>IF($O$13="нет","без дифференциации",IF($R$13=0,"",$R$13))</f>
        <v/>
      </c>
      <c r="AM13" t="str">
        <f>IF($S$13="нет","без дифференциации",IF($V$13=0,"",$V$13))</f>
        <v/>
      </c>
      <c r="AN13">
        <f>$I$13</f>
        <v>0</v>
      </c>
      <c r="AO13" t="str">
        <f>$I$13&amp;"."&amp;$M$13</f>
        <v>.</v>
      </c>
      <c r="AP13" t="str">
        <f>$I$13&amp;"."&amp;$M$13&amp;"."&amp;$Q$13</f>
        <v>..</v>
      </c>
      <c r="AQ13" t="str">
        <f>$I$13&amp;"."&amp;$M$13&amp;"."&amp;$Q$13&amp;"."&amp;$U$13</f>
        <v>...</v>
      </c>
    </row>
    <row r="14" spans="4:43" ht="17.25" hidden="1" customHeight="1" x14ac:dyDescent="0.15">
      <c r="D14" s="6"/>
      <c r="E14" s="6"/>
      <c r="F14" s="6"/>
      <c r="G14" s="6"/>
      <c r="H14" s="6"/>
      <c r="I14" s="6"/>
      <c r="J14" s="6"/>
      <c r="K14" s="6"/>
      <c r="L14" s="6"/>
      <c r="M14" s="6"/>
      <c r="N14" s="6"/>
      <c r="O14" s="6"/>
      <c r="P14" s="6"/>
      <c r="Q14" s="6"/>
      <c r="R14" s="6"/>
      <c r="S14" s="6"/>
    </row>
    <row r="15" spans="4:43" ht="17.25" hidden="1" customHeight="1" x14ac:dyDescent="0.15">
      <c r="D15" s="6"/>
      <c r="E15" s="6"/>
      <c r="F15" s="6"/>
      <c r="G15" s="6"/>
      <c r="H15" s="6"/>
      <c r="I15" s="6"/>
      <c r="J15" s="6"/>
      <c r="K15" s="6"/>
      <c r="L15" s="6"/>
      <c r="M15" s="6"/>
      <c r="N15" s="6"/>
      <c r="O15" s="6"/>
      <c r="AC15" t="s">
        <v>457</v>
      </c>
      <c r="AD15" t="s">
        <v>458</v>
      </c>
      <c r="AE15" t="s">
        <v>459</v>
      </c>
      <c r="AF15" t="s">
        <v>462</v>
      </c>
      <c r="AG15" t="s">
        <v>463</v>
      </c>
      <c r="AH1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t="str">
        <f>IF($G$13=0,"",$G$13)</f>
        <v/>
      </c>
      <c r="AJ15" t="str">
        <f>IF($J$13=0,"",$J$13)</f>
        <v/>
      </c>
      <c r="AK15" t="str">
        <f>IF($K$13="нет","без дифференциации",IF($N$13=0,"",$N$13))</f>
        <v/>
      </c>
      <c r="AL15" t="str">
        <f>IF($O$15="нет","без дифференциации",IF($R$15=0,"",$R$15))</f>
        <v/>
      </c>
      <c r="AM15" t="str">
        <f>IF($S$15="нет","без дифференциации",IF($V$15=0,"",$V$15))</f>
        <v/>
      </c>
      <c r="AN15">
        <f>$I$13</f>
        <v>0</v>
      </c>
      <c r="AO15" t="str">
        <f>$I$13&amp;"."&amp;$M$13</f>
        <v>.</v>
      </c>
      <c r="AP15" t="str">
        <f>$I$13&amp;"."&amp;$M$13&amp;"."&amp;$Q$15</f>
        <v>..</v>
      </c>
      <c r="AQ15" t="str">
        <f>$I$13&amp;"."&amp;$M$13&amp;"."&amp;$Q$15&amp;"."&amp;$U$15</f>
        <v>...</v>
      </c>
    </row>
    <row r="16" spans="4:43" ht="17.25" hidden="1" customHeight="1" x14ac:dyDescent="0.15">
      <c r="D16" s="6"/>
      <c r="E16" s="6"/>
      <c r="F16" s="6"/>
      <c r="G16" s="6"/>
      <c r="H16" s="6"/>
      <c r="I16" s="6"/>
      <c r="J16" s="6"/>
      <c r="K16" s="6"/>
    </row>
    <row r="17" spans="4:43" ht="17.25" hidden="1" customHeight="1" x14ac:dyDescent="0.15">
      <c r="D17" s="6"/>
      <c r="E17" s="6"/>
      <c r="F17" s="6"/>
      <c r="G17" s="6"/>
    </row>
    <row r="18" spans="4:43" ht="17.25" hidden="1" customHeight="1" x14ac:dyDescent="0.15">
      <c r="D18" s="6">
        <v>2</v>
      </c>
      <c r="E18" s="6" t="s">
        <v>464</v>
      </c>
      <c r="F18" s="6" t="s">
        <v>43</v>
      </c>
      <c r="G18" s="6"/>
      <c r="H18" s="6"/>
      <c r="I18" s="6"/>
      <c r="J18" s="6"/>
      <c r="K18" s="6"/>
      <c r="L18" s="6"/>
      <c r="M18" s="6"/>
      <c r="N18" s="6"/>
      <c r="O18" s="6"/>
      <c r="P18" s="6"/>
      <c r="Q18" s="6"/>
      <c r="R18" s="6"/>
      <c r="S18" s="6"/>
      <c r="AC18" t="s">
        <v>465</v>
      </c>
      <c r="AD18" t="s">
        <v>466</v>
      </c>
      <c r="AE18" t="s">
        <v>467</v>
      </c>
      <c r="AF18" t="s">
        <v>468</v>
      </c>
      <c r="AG18" t="s">
        <v>469</v>
      </c>
      <c r="AH18" t="str">
        <f>IF($E$18=0,"",$E$18)</f>
        <v>Тарифы на тепловую энергию (мощность), поставляемую теплоснабжающими организациями потребителям, другим теплоснабжающим организациям</v>
      </c>
      <c r="AI18" t="str">
        <f>IF($G$18=0,"",$G$18)</f>
        <v/>
      </c>
      <c r="AJ18" t="str">
        <f>IF($J$18=0,"",$J$18)</f>
        <v/>
      </c>
      <c r="AK18" t="str">
        <f>IF($K$18="нет","без дифференциации",IF($N$18=0,"",$N$18))</f>
        <v/>
      </c>
      <c r="AL18" t="str">
        <f>IF($O$18="нет","без дифференциации",IF($R$18=0,"",$R$18))</f>
        <v/>
      </c>
      <c r="AM18" t="str">
        <f>IF($S$18="нет","без дифференциации",IF($V$18=0,"",$V$18))</f>
        <v/>
      </c>
      <c r="AN18">
        <f>$I$18</f>
        <v>0</v>
      </c>
      <c r="AO18" t="str">
        <f>$I$18&amp;"."&amp;$M$18</f>
        <v>.</v>
      </c>
      <c r="AP18" t="str">
        <f>$I$18&amp;"."&amp;$M$18&amp;"."&amp;$Q$18</f>
        <v>..</v>
      </c>
      <c r="AQ18" t="str">
        <f>$I$18&amp;"."&amp;$M$18&amp;"."&amp;$Q$18&amp;"."&amp;$U$18</f>
        <v>...</v>
      </c>
    </row>
    <row r="19" spans="4:43" ht="17.25" hidden="1" customHeight="1" x14ac:dyDescent="0.15">
      <c r="D19" s="6"/>
      <c r="E19" s="6"/>
      <c r="F19" s="6"/>
      <c r="G19" s="6"/>
      <c r="H19" s="6"/>
      <c r="I19" s="6"/>
      <c r="J19" s="6"/>
      <c r="K19" s="6"/>
      <c r="L19" s="6"/>
      <c r="M19" s="6"/>
      <c r="N19" s="6"/>
      <c r="O19" s="6"/>
      <c r="P19" s="6"/>
      <c r="Q19" s="6"/>
      <c r="R19" s="6"/>
      <c r="S19" s="6"/>
    </row>
    <row r="20" spans="4:43" ht="17.25" hidden="1" customHeight="1" x14ac:dyDescent="0.15">
      <c r="D20" s="6"/>
      <c r="E20" s="6"/>
      <c r="F20" s="6"/>
      <c r="G20" s="6"/>
      <c r="H20" s="6"/>
      <c r="I20" s="6"/>
      <c r="J20" s="6"/>
      <c r="K20" s="6"/>
      <c r="L20" s="6"/>
      <c r="M20" s="6"/>
      <c r="N20" s="6"/>
      <c r="O20" s="6"/>
    </row>
    <row r="21" spans="4:43" ht="17.25" hidden="1" customHeight="1" x14ac:dyDescent="0.15">
      <c r="D21" s="6"/>
      <c r="E21" s="6"/>
      <c r="F21" s="6"/>
      <c r="G21" s="6"/>
      <c r="H21" s="6"/>
      <c r="I21" s="6"/>
      <c r="J21" s="6"/>
      <c r="K21" s="6"/>
    </row>
    <row r="22" spans="4:43" ht="17.25" hidden="1" customHeight="1" x14ac:dyDescent="0.15">
      <c r="D22" s="6"/>
      <c r="E22" s="6"/>
      <c r="F22" s="6"/>
      <c r="G22" s="6"/>
    </row>
    <row r="23" spans="4:43" ht="17.25" hidden="1" customHeight="1" x14ac:dyDescent="0.15">
      <c r="D23" s="6">
        <v>3</v>
      </c>
      <c r="E23" s="6" t="s">
        <v>470</v>
      </c>
      <c r="F23" s="6" t="s">
        <v>43</v>
      </c>
      <c r="G23" s="6"/>
      <c r="H23" s="6"/>
      <c r="I23" s="6"/>
      <c r="J23" s="6"/>
      <c r="K23" s="6"/>
      <c r="L23" s="6"/>
      <c r="M23" s="6"/>
      <c r="N23" s="6"/>
      <c r="O23" s="6"/>
      <c r="P23" s="6"/>
      <c r="Q23" s="6"/>
      <c r="R23" s="6"/>
      <c r="S23" s="6"/>
      <c r="AC23" t="s">
        <v>471</v>
      </c>
      <c r="AD23" t="s">
        <v>472</v>
      </c>
      <c r="AE23" t="s">
        <v>473</v>
      </c>
      <c r="AF23" t="s">
        <v>474</v>
      </c>
      <c r="AG23" t="s">
        <v>475</v>
      </c>
      <c r="AH23" t="str">
        <f>IF($E$23=0,"",$E$23)</f>
        <v>Тарифы на теплоноситель, поставляемый теплоснабжающими организациями потребителям, другим теплоснабжающим организациям</v>
      </c>
      <c r="AI23" t="str">
        <f>IF($G$23=0,"",$G$23)</f>
        <v/>
      </c>
      <c r="AJ23" t="str">
        <f>IF($J$23=0,"",$J$23)</f>
        <v/>
      </c>
      <c r="AK23" t="str">
        <f>IF($K$23="нет","без дифференциации",IF($N$23=0,"",$N$23))</f>
        <v/>
      </c>
      <c r="AL23" t="str">
        <f>IF($O$23="нет","без дифференциации",IF($R$23=0,"",$R$23))</f>
        <v/>
      </c>
      <c r="AM23" t="str">
        <f>IF($S$23="нет","без дифференциации",IF($V$23=0,"",$V$23))</f>
        <v/>
      </c>
      <c r="AN23">
        <f>$I$23</f>
        <v>0</v>
      </c>
      <c r="AO23" t="str">
        <f>$I$23&amp;"."&amp;$M$23</f>
        <v>.</v>
      </c>
      <c r="AP23" t="str">
        <f>$I$23&amp;"."&amp;$M$23&amp;"."&amp;$Q$23</f>
        <v>..</v>
      </c>
      <c r="AQ23" t="str">
        <f>$I$23&amp;"."&amp;$M$23&amp;"."&amp;$Q$23&amp;"."&amp;$U$23</f>
        <v>...</v>
      </c>
    </row>
    <row r="24" spans="4:43" ht="17.25" hidden="1" customHeight="1" x14ac:dyDescent="0.15">
      <c r="D24" s="6"/>
      <c r="E24" s="6"/>
      <c r="F24" s="6"/>
      <c r="G24" s="6"/>
      <c r="H24" s="6"/>
      <c r="I24" s="6"/>
      <c r="J24" s="6"/>
      <c r="K24" s="6"/>
      <c r="L24" s="6"/>
      <c r="M24" s="6"/>
      <c r="N24" s="6"/>
      <c r="O24" s="6"/>
      <c r="P24" s="6"/>
      <c r="Q24" s="6"/>
      <c r="R24" s="6"/>
      <c r="S24" s="6"/>
    </row>
    <row r="25" spans="4:43" ht="17.25" hidden="1" customHeight="1" x14ac:dyDescent="0.15">
      <c r="D25" s="6"/>
      <c r="E25" s="6"/>
      <c r="F25" s="6"/>
      <c r="G25" s="6"/>
      <c r="H25" s="6"/>
      <c r="I25" s="6"/>
      <c r="J25" s="6"/>
      <c r="K25" s="6"/>
      <c r="L25" s="6"/>
      <c r="M25" s="6"/>
      <c r="N25" s="6"/>
      <c r="O25" s="6"/>
    </row>
    <row r="26" spans="4:43" ht="17.25" hidden="1" customHeight="1" x14ac:dyDescent="0.15">
      <c r="D26" s="6"/>
      <c r="E26" s="6"/>
      <c r="F26" s="6"/>
      <c r="G26" s="6"/>
      <c r="H26" s="6"/>
      <c r="I26" s="6"/>
      <c r="J26" s="6"/>
      <c r="K26" s="6"/>
    </row>
    <row r="27" spans="4:43" ht="17.25" hidden="1" customHeight="1" x14ac:dyDescent="0.15">
      <c r="D27" s="6"/>
      <c r="E27" s="6"/>
      <c r="F27" s="6"/>
      <c r="G27" s="6"/>
    </row>
    <row r="28" spans="4:43" ht="17.25" hidden="1" customHeight="1" x14ac:dyDescent="0.15">
      <c r="D28" s="6">
        <v>4</v>
      </c>
      <c r="E28" s="6" t="s">
        <v>476</v>
      </c>
      <c r="F28" s="6" t="s">
        <v>43</v>
      </c>
      <c r="G28" s="6"/>
      <c r="H28" s="6"/>
      <c r="I28" s="6"/>
      <c r="J28" s="6"/>
      <c r="K28" s="6"/>
      <c r="L28" s="6"/>
      <c r="M28" s="6"/>
      <c r="N28" s="6"/>
      <c r="O28" s="6"/>
      <c r="P28" s="6"/>
      <c r="Q28" s="6"/>
      <c r="R28" s="6"/>
      <c r="S28" s="6"/>
      <c r="AC28" t="s">
        <v>477</v>
      </c>
      <c r="AD28" t="s">
        <v>478</v>
      </c>
      <c r="AE28" t="s">
        <v>479</v>
      </c>
      <c r="AF28" t="s">
        <v>480</v>
      </c>
      <c r="AG28" t="s">
        <v>481</v>
      </c>
      <c r="AH2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t="str">
        <f>IF($G$28=0,"",$G$28)</f>
        <v/>
      </c>
      <c r="AJ28" t="str">
        <f>IF($J$28=0,"",$J$28)</f>
        <v/>
      </c>
      <c r="AK28" t="str">
        <f>IF($K$28="нет","без дифференциации",IF($N$28=0,"",$N$28))</f>
        <v/>
      </c>
      <c r="AL28" t="str">
        <f>IF($O$28="нет","без дифференциации",IF($R$28=0,"",$R$28))</f>
        <v/>
      </c>
      <c r="AM28" t="str">
        <f>IF($S$28="нет","без дифференциации",IF($V$28=0,"",$V$28))</f>
        <v/>
      </c>
      <c r="AN28">
        <f>$I$28</f>
        <v>0</v>
      </c>
      <c r="AO28" t="str">
        <f>$I$28&amp;"."&amp;$M$28</f>
        <v>.</v>
      </c>
      <c r="AP28" t="str">
        <f>$I$28&amp;"."&amp;$M$28&amp;"."&amp;$Q$28</f>
        <v>..</v>
      </c>
      <c r="AQ28" t="str">
        <f>$I$28&amp;"."&amp;$M$28&amp;"."&amp;$Q$28&amp;"."&amp;$U$28</f>
        <v>...</v>
      </c>
    </row>
    <row r="29" spans="4:43" ht="17.25" hidden="1" customHeight="1" x14ac:dyDescent="0.15">
      <c r="D29" s="6"/>
      <c r="E29" s="6"/>
      <c r="F29" s="6"/>
      <c r="G29" s="6"/>
      <c r="H29" s="6"/>
      <c r="I29" s="6"/>
      <c r="J29" s="6"/>
      <c r="K29" s="6"/>
      <c r="L29" s="6"/>
      <c r="M29" s="6"/>
      <c r="N29" s="6"/>
      <c r="O29" s="6"/>
      <c r="P29" s="6"/>
      <c r="Q29" s="6"/>
      <c r="R29" s="6"/>
      <c r="S29" s="6"/>
    </row>
    <row r="30" spans="4:43" ht="17.25" hidden="1" customHeight="1" x14ac:dyDescent="0.15">
      <c r="D30" s="6"/>
      <c r="E30" s="6"/>
      <c r="F30" s="6"/>
      <c r="G30" s="6"/>
      <c r="H30" s="6"/>
      <c r="I30" s="6"/>
      <c r="J30" s="6"/>
      <c r="K30" s="6"/>
      <c r="L30" s="6"/>
      <c r="M30" s="6"/>
      <c r="N30" s="6"/>
      <c r="O30" s="6"/>
    </row>
    <row r="31" spans="4:43" ht="17.25" hidden="1" customHeight="1" x14ac:dyDescent="0.15">
      <c r="D31" s="6"/>
      <c r="E31" s="6"/>
      <c r="F31" s="6"/>
      <c r="G31" s="6"/>
      <c r="H31" s="6"/>
      <c r="I31" s="6"/>
      <c r="J31" s="6"/>
      <c r="K31" s="6"/>
    </row>
    <row r="32" spans="4:43" ht="17.25" hidden="1" customHeight="1" x14ac:dyDescent="0.15">
      <c r="D32" s="6"/>
      <c r="E32" s="6"/>
      <c r="F32" s="6"/>
      <c r="G32" s="6"/>
    </row>
    <row r="33" spans="4:43" ht="17.25" hidden="1" customHeight="1" x14ac:dyDescent="0.15">
      <c r="D33" s="6">
        <v>5</v>
      </c>
      <c r="E33" s="6" t="s">
        <v>482</v>
      </c>
      <c r="F33" s="6" t="s">
        <v>43</v>
      </c>
      <c r="G33" s="6"/>
      <c r="H33" s="6"/>
      <c r="I33" s="6"/>
      <c r="J33" s="6"/>
      <c r="K33" s="6"/>
      <c r="L33" s="6"/>
      <c r="M33" s="6"/>
      <c r="N33" s="6"/>
      <c r="O33" s="6"/>
      <c r="P33" s="6"/>
      <c r="Q33" s="6"/>
      <c r="R33" s="6"/>
      <c r="S33" s="6"/>
      <c r="AC33" t="s">
        <v>483</v>
      </c>
      <c r="AD33" t="s">
        <v>484</v>
      </c>
      <c r="AE33" t="s">
        <v>485</v>
      </c>
      <c r="AF33" t="s">
        <v>486</v>
      </c>
      <c r="AG33" t="s">
        <v>487</v>
      </c>
      <c r="AH33" t="str">
        <f>IF($E$33=0,"",$E$33)</f>
        <v>Тарифы на услуги по передаче тепловой энергии</v>
      </c>
      <c r="AI33" t="str">
        <f>IF($G$33=0,"",$G$33)</f>
        <v/>
      </c>
      <c r="AJ33" t="str">
        <f>IF($J$33=0,"",$J$33)</f>
        <v/>
      </c>
      <c r="AK33" t="str">
        <f>IF($K$33="нет","без дифференциации",IF($N$33=0,"",$N$33))</f>
        <v/>
      </c>
      <c r="AL33" t="str">
        <f>IF($O$33="нет","без дифференциации",IF($R$33=0,"",$R$33))</f>
        <v/>
      </c>
      <c r="AM33" t="str">
        <f>IF($S$33="нет","без дифференциации",IF($V$33=0,"",$V$33))</f>
        <v/>
      </c>
      <c r="AN33">
        <f>$I$33</f>
        <v>0</v>
      </c>
      <c r="AO33" t="str">
        <f>$I$33&amp;"."&amp;$M$33</f>
        <v>.</v>
      </c>
      <c r="AP33" t="str">
        <f>$I$33&amp;"."&amp;$M$33&amp;"."&amp;$Q$33</f>
        <v>..</v>
      </c>
      <c r="AQ33" t="str">
        <f>$I$33&amp;"."&amp;$M$33&amp;"."&amp;$Q$33&amp;"."&amp;$U$33</f>
        <v>...</v>
      </c>
    </row>
    <row r="34" spans="4:43" ht="17.25" hidden="1" customHeight="1" x14ac:dyDescent="0.15">
      <c r="D34" s="6"/>
      <c r="E34" s="6"/>
      <c r="F34" s="6"/>
      <c r="G34" s="6"/>
      <c r="H34" s="6"/>
      <c r="I34" s="6"/>
      <c r="J34" s="6"/>
      <c r="K34" s="6"/>
      <c r="L34" s="6"/>
      <c r="M34" s="6"/>
      <c r="N34" s="6"/>
      <c r="O34" s="6"/>
      <c r="P34" s="6"/>
      <c r="Q34" s="6"/>
      <c r="R34" s="6"/>
      <c r="S34" s="6"/>
    </row>
    <row r="35" spans="4:43" ht="17.25" hidden="1" customHeight="1" x14ac:dyDescent="0.15">
      <c r="D35" s="6"/>
      <c r="E35" s="6"/>
      <c r="F35" s="6"/>
      <c r="G35" s="6"/>
      <c r="H35" s="6"/>
      <c r="I35" s="6"/>
      <c r="J35" s="6"/>
      <c r="K35" s="6"/>
      <c r="L35" s="6"/>
      <c r="M35" s="6"/>
      <c r="N35" s="6"/>
      <c r="O35" s="6"/>
    </row>
    <row r="36" spans="4:43" ht="17.25" hidden="1" customHeight="1" x14ac:dyDescent="0.15">
      <c r="D36" s="6"/>
      <c r="E36" s="6"/>
      <c r="F36" s="6"/>
      <c r="G36" s="6"/>
      <c r="H36" s="6"/>
      <c r="I36" s="6"/>
      <c r="J36" s="6"/>
      <c r="K36" s="6"/>
    </row>
    <row r="37" spans="4:43" ht="17.25" hidden="1" customHeight="1" x14ac:dyDescent="0.15">
      <c r="D37" s="6"/>
      <c r="E37" s="6"/>
      <c r="F37" s="6"/>
      <c r="G37" s="6"/>
    </row>
    <row r="38" spans="4:43" ht="17.25" hidden="1" customHeight="1" x14ac:dyDescent="0.15">
      <c r="D38" s="6">
        <v>6</v>
      </c>
      <c r="E38" s="6" t="s">
        <v>488</v>
      </c>
      <c r="F38" s="6" t="s">
        <v>43</v>
      </c>
      <c r="G38" s="6"/>
      <c r="H38" s="6"/>
      <c r="I38" s="6"/>
      <c r="J38" s="6"/>
      <c r="K38" s="6"/>
      <c r="L38" s="6"/>
      <c r="M38" s="6"/>
      <c r="N38" s="6"/>
      <c r="O38" s="6"/>
      <c r="P38" s="6"/>
      <c r="Q38" s="6"/>
      <c r="R38" s="6"/>
      <c r="S38" s="6"/>
      <c r="AC38" t="s">
        <v>489</v>
      </c>
      <c r="AD38" t="s">
        <v>490</v>
      </c>
      <c r="AE38" t="s">
        <v>491</v>
      </c>
      <c r="AF38" t="s">
        <v>492</v>
      </c>
      <c r="AG38" t="s">
        <v>493</v>
      </c>
      <c r="AH38" t="str">
        <f>IF($E$38=0,"",$E$38)</f>
        <v>Тарифы на услуги по передаче теплоносителя</v>
      </c>
      <c r="AI38" t="str">
        <f>IF($G$38=0,"",$G$38)</f>
        <v/>
      </c>
      <c r="AJ38" t="str">
        <f>IF($J$38=0,"",$J$38)</f>
        <v/>
      </c>
      <c r="AK38" t="str">
        <f>IF($K$38="нет","без дифференциации",IF($N$38=0,"",$N$38))</f>
        <v/>
      </c>
      <c r="AL38" t="str">
        <f>IF($O$38="нет","без дифференциации",IF($R$38=0,"",$R$38))</f>
        <v/>
      </c>
      <c r="AM38" t="str">
        <f>IF($S$38="нет","без дифференциации",IF($V$38=0,"",$V$38))</f>
        <v/>
      </c>
      <c r="AN38">
        <f>$I$38</f>
        <v>0</v>
      </c>
      <c r="AO38" t="str">
        <f>$I$38&amp;"."&amp;$M$38</f>
        <v>.</v>
      </c>
      <c r="AP38" t="str">
        <f>$I$38&amp;"."&amp;$M$38&amp;"."&amp;$Q$38</f>
        <v>..</v>
      </c>
      <c r="AQ38" t="str">
        <f>$I$38&amp;"."&amp;$M$38&amp;"."&amp;$Q$38&amp;"."&amp;$U$38</f>
        <v>...</v>
      </c>
    </row>
    <row r="39" spans="4:43" ht="17.25" hidden="1" customHeight="1" x14ac:dyDescent="0.15">
      <c r="D39" s="6"/>
      <c r="E39" s="6"/>
      <c r="F39" s="6"/>
      <c r="G39" s="6"/>
      <c r="H39" s="6"/>
      <c r="I39" s="6"/>
      <c r="J39" s="6"/>
      <c r="K39" s="6"/>
      <c r="L39" s="6"/>
      <c r="M39" s="6"/>
      <c r="N39" s="6"/>
      <c r="O39" s="6"/>
      <c r="P39" s="6"/>
      <c r="Q39" s="6"/>
      <c r="R39" s="6"/>
      <c r="S39" s="6"/>
    </row>
    <row r="40" spans="4:43" ht="17.25" hidden="1" customHeight="1" x14ac:dyDescent="0.15">
      <c r="D40" s="6"/>
      <c r="E40" s="6"/>
      <c r="F40" s="6"/>
      <c r="G40" s="6"/>
      <c r="H40" s="6"/>
      <c r="I40" s="6"/>
      <c r="J40" s="6"/>
      <c r="K40" s="6"/>
      <c r="L40" s="6"/>
      <c r="M40" s="6"/>
      <c r="N40" s="6"/>
      <c r="O40" s="6"/>
    </row>
    <row r="41" spans="4:43" ht="17.25" hidden="1" customHeight="1" x14ac:dyDescent="0.15">
      <c r="D41" s="6"/>
      <c r="E41" s="6"/>
      <c r="F41" s="6"/>
      <c r="G41" s="6"/>
      <c r="H41" s="6"/>
      <c r="I41" s="6"/>
      <c r="J41" s="6"/>
      <c r="K41" s="6"/>
      <c r="AC41" t="s">
        <v>489</v>
      </c>
      <c r="AD41" t="s">
        <v>490</v>
      </c>
      <c r="AE41" t="s">
        <v>494</v>
      </c>
      <c r="AF41" t="s">
        <v>495</v>
      </c>
      <c r="AG41" t="s">
        <v>496</v>
      </c>
      <c r="AH41" t="str">
        <f>IF($E$38=0,"",$E$38)</f>
        <v>Тарифы на услуги по передаче теплоносителя</v>
      </c>
      <c r="AI41" t="str">
        <f>IF($G$38=0,"",$G$38)</f>
        <v/>
      </c>
      <c r="AJ41" t="str">
        <f>IF($J$38=0,"",$J$38)</f>
        <v/>
      </c>
      <c r="AK41" t="str">
        <f>IF($K$41="нет","без дифференциации",IF($N$41=0,"",$N$41))</f>
        <v/>
      </c>
      <c r="AL41" t="str">
        <f>IF($O$41="нет","без дифференциации",IF($R$41=0,"",$R$41))</f>
        <v/>
      </c>
      <c r="AM41" t="str">
        <f>IF($S$41="нет","без дифференциации",IF($V$41=0,"",$V$41))</f>
        <v/>
      </c>
      <c r="AN41">
        <f>$I$38</f>
        <v>0</v>
      </c>
      <c r="AO41" t="str">
        <f>$I$38&amp;"."&amp;$M$41</f>
        <v>.</v>
      </c>
      <c r="AP41" t="str">
        <f>$I$38&amp;"."&amp;$M$41&amp;"."&amp;$Q$41</f>
        <v>..</v>
      </c>
      <c r="AQ41" t="str">
        <f>$I$38&amp;"."&amp;$M$41&amp;"."&amp;$Q$41&amp;"."&amp;$U$41</f>
        <v>...</v>
      </c>
    </row>
    <row r="42" spans="4:43" ht="17.25" hidden="1" customHeight="1" x14ac:dyDescent="0.15">
      <c r="D42" s="6"/>
      <c r="E42" s="6"/>
      <c r="F42" s="6"/>
      <c r="G42" s="6"/>
    </row>
    <row r="43" spans="4:43" ht="17.25" hidden="1" customHeight="1" x14ac:dyDescent="0.15">
      <c r="D43" s="6">
        <v>7</v>
      </c>
      <c r="E43" s="6" t="s">
        <v>497</v>
      </c>
      <c r="F43" s="6" t="s">
        <v>43</v>
      </c>
      <c r="G43" s="6"/>
      <c r="H43" s="6"/>
      <c r="I43" s="6"/>
      <c r="J43" s="6"/>
      <c r="K43" s="6"/>
      <c r="L43" s="6"/>
      <c r="M43" s="6"/>
      <c r="N43" s="6"/>
      <c r="O43" s="6"/>
      <c r="P43" s="6"/>
      <c r="Q43" s="6"/>
      <c r="R43" s="6"/>
      <c r="S43" s="6"/>
      <c r="AC43" t="s">
        <v>498</v>
      </c>
      <c r="AD43" t="s">
        <v>499</v>
      </c>
      <c r="AE43" t="s">
        <v>500</v>
      </c>
      <c r="AF43" t="s">
        <v>501</v>
      </c>
      <c r="AG43" t="s">
        <v>502</v>
      </c>
      <c r="AH43" t="str">
        <f>IF($E$43=0,"",$E$43)</f>
        <v>Плата за услуги по поддержанию резервной тепловой мощности при отсутствии потребления тепловой энергии</v>
      </c>
      <c r="AI43" t="str">
        <f>IF($G$43=0,"",$G$43)</f>
        <v/>
      </c>
      <c r="AJ43" t="str">
        <f>IF($J$43=0,"",$J$43)</f>
        <v/>
      </c>
      <c r="AK43" t="str">
        <f>IF($K$43="нет","без дифференциации",IF($N$43=0,"",$N$43))</f>
        <v/>
      </c>
      <c r="AL43" t="str">
        <f>IF($O$43="нет","без дифференциации",IF($R$43=0,"",$R$43))</f>
        <v/>
      </c>
      <c r="AM43" t="str">
        <f>IF($S$43="нет","без дифференциации",IF($V$43=0,"",$V$43))</f>
        <v/>
      </c>
      <c r="AN43">
        <f>$I$43</f>
        <v>0</v>
      </c>
      <c r="AO43" t="str">
        <f>$I$43&amp;"."&amp;$M$43</f>
        <v>.</v>
      </c>
      <c r="AP43" t="str">
        <f>$I$43&amp;"."&amp;$M$43&amp;"."&amp;$Q$43</f>
        <v>..</v>
      </c>
      <c r="AQ43" t="str">
        <f>$I$43&amp;"."&amp;$M$43&amp;"."&amp;$Q$43&amp;"."&amp;$U$43</f>
        <v>...</v>
      </c>
    </row>
    <row r="44" spans="4:43" ht="17.25" hidden="1" customHeight="1" x14ac:dyDescent="0.15">
      <c r="D44" s="6"/>
      <c r="E44" s="6"/>
      <c r="F44" s="6"/>
      <c r="G44" s="6"/>
      <c r="H44" s="6"/>
      <c r="I44" s="6"/>
      <c r="J44" s="6"/>
      <c r="K44" s="6"/>
      <c r="L44" s="6"/>
      <c r="M44" s="6"/>
      <c r="N44" s="6"/>
      <c r="O44" s="6"/>
      <c r="P44" s="6"/>
      <c r="Q44" s="6"/>
      <c r="R44" s="6"/>
      <c r="S44" s="6"/>
    </row>
    <row r="45" spans="4:43" ht="17.25" hidden="1" customHeight="1" x14ac:dyDescent="0.15">
      <c r="D45" s="6"/>
      <c r="E45" s="6"/>
      <c r="F45" s="6"/>
      <c r="G45" s="6"/>
      <c r="H45" s="6"/>
      <c r="I45" s="6"/>
      <c r="J45" s="6"/>
      <c r="K45" s="6"/>
      <c r="L45" s="6"/>
      <c r="M45" s="6"/>
      <c r="N45" s="6"/>
      <c r="O45" s="6"/>
    </row>
    <row r="46" spans="4:43" ht="17.25" hidden="1" customHeight="1" x14ac:dyDescent="0.15">
      <c r="D46" s="6"/>
      <c r="E46" s="6"/>
      <c r="F46" s="6"/>
      <c r="G46" s="6"/>
      <c r="H46" s="6"/>
      <c r="I46" s="6"/>
      <c r="J46" s="6"/>
      <c r="K46" s="6"/>
    </row>
    <row r="47" spans="4:43" ht="17.25" hidden="1" customHeight="1" x14ac:dyDescent="0.15">
      <c r="D47" s="6"/>
      <c r="E47" s="6"/>
      <c r="F47" s="6"/>
      <c r="G47" s="6"/>
    </row>
    <row r="48" spans="4:43" ht="17.25" hidden="1" customHeight="1" x14ac:dyDescent="0.15">
      <c r="D48" s="6">
        <v>8</v>
      </c>
      <c r="E48" s="6" t="s">
        <v>503</v>
      </c>
      <c r="F48" s="6" t="s">
        <v>43</v>
      </c>
      <c r="G48" s="6"/>
      <c r="H48" s="6"/>
      <c r="I48" s="6"/>
      <c r="J48" s="6"/>
      <c r="K48" s="6"/>
      <c r="L48" s="6"/>
      <c r="M48" s="6"/>
      <c r="N48" s="6"/>
      <c r="O48" s="6"/>
      <c r="P48" s="6"/>
      <c r="Q48" s="6"/>
      <c r="R48" s="6"/>
      <c r="S48" s="6"/>
      <c r="AC48" t="s">
        <v>504</v>
      </c>
      <c r="AD48" t="s">
        <v>505</v>
      </c>
      <c r="AE48" t="s">
        <v>506</v>
      </c>
      <c r="AF48" t="s">
        <v>507</v>
      </c>
      <c r="AG48" t="s">
        <v>508</v>
      </c>
      <c r="AH48" t="str">
        <f>IF($E$48=0,"",$E$48)</f>
        <v>Плата за подключение (технологическое присоединение) к системе теплоснабжения</v>
      </c>
      <c r="AI48" t="str">
        <f>IF($G$48=0,"",$G$48)</f>
        <v/>
      </c>
      <c r="AJ48" t="str">
        <f>IF($J$48=0,"",$J$48)</f>
        <v/>
      </c>
      <c r="AK48" t="str">
        <f>IF($K$48="нет","без дифференциации",IF($N$48=0,"",$N$48))</f>
        <v/>
      </c>
      <c r="AL48" t="str">
        <f>IF($O$48="нет","без дифференциации",IF($R$48=0,"",$R$48))</f>
        <v/>
      </c>
      <c r="AM48" t="str">
        <f>IF($S$48="нет","без дифференциации",IF($V$48=0,"",$V$48))</f>
        <v/>
      </c>
      <c r="AN48">
        <f>$I$48</f>
        <v>0</v>
      </c>
      <c r="AO48" t="str">
        <f>$I$48&amp;"."&amp;$M$48</f>
        <v>.</v>
      </c>
      <c r="AP48" t="str">
        <f>$I$48&amp;"."&amp;$M$48&amp;"."&amp;$Q$48</f>
        <v>..</v>
      </c>
      <c r="AQ48" t="str">
        <f>$I$48&amp;"."&amp;$M$48&amp;"."&amp;$Q$48&amp;"."&amp;$U$48</f>
        <v>...</v>
      </c>
    </row>
    <row r="49" spans="4:43" ht="17.25" hidden="1" customHeight="1" x14ac:dyDescent="0.15">
      <c r="D49" s="6"/>
      <c r="E49" s="6"/>
      <c r="F49" s="6"/>
      <c r="G49" s="6"/>
      <c r="H49" s="6"/>
      <c r="I49" s="6"/>
      <c r="J49" s="6"/>
      <c r="K49" s="6"/>
      <c r="L49" s="6"/>
      <c r="M49" s="6"/>
      <c r="N49" s="6"/>
      <c r="O49" s="6"/>
      <c r="P49" s="6"/>
      <c r="Q49" s="6"/>
      <c r="R49" s="6"/>
      <c r="S49" s="6"/>
    </row>
    <row r="50" spans="4:43" ht="17.25" hidden="1" customHeight="1" x14ac:dyDescent="0.15">
      <c r="D50" s="6"/>
      <c r="E50" s="6"/>
      <c r="F50" s="6"/>
      <c r="G50" s="6"/>
      <c r="H50" s="6"/>
      <c r="I50" s="6"/>
      <c r="J50" s="6"/>
      <c r="K50" s="6"/>
      <c r="L50" s="6"/>
      <c r="M50" s="6"/>
      <c r="N50" s="6"/>
      <c r="O50" s="6"/>
    </row>
    <row r="51" spans="4:43" ht="17.25" hidden="1" customHeight="1" x14ac:dyDescent="0.15">
      <c r="D51" s="6"/>
      <c r="E51" s="6"/>
      <c r="F51" s="6"/>
      <c r="G51" s="6"/>
      <c r="H51" s="6"/>
      <c r="I51" s="6"/>
      <c r="J51" s="6"/>
      <c r="K51" s="6"/>
    </row>
    <row r="52" spans="4:43" ht="17.25" hidden="1" customHeight="1" x14ac:dyDescent="0.15">
      <c r="D52" s="6"/>
      <c r="E52" s="6"/>
      <c r="F52" s="6"/>
      <c r="G52" s="6"/>
    </row>
    <row r="53" spans="4:43" ht="11.25" hidden="1" customHeight="1" x14ac:dyDescent="0.15"/>
    <row r="54" spans="4:43" ht="11.25" hidden="1" customHeight="1" x14ac:dyDescent="0.15">
      <c r="E54" s="6" t="s">
        <v>509</v>
      </c>
      <c r="F54" s="6"/>
      <c r="G54" s="6"/>
      <c r="H54" s="6"/>
      <c r="I54" s="6"/>
      <c r="J54" s="6"/>
      <c r="K54" s="6"/>
      <c r="L54" s="6"/>
      <c r="M54" s="6"/>
      <c r="N54" s="6"/>
      <c r="O54" s="6"/>
      <c r="P54" s="6"/>
      <c r="Q54" s="6"/>
      <c r="R54" s="6"/>
      <c r="S54" s="6"/>
      <c r="T54" s="6"/>
      <c r="U54" s="6"/>
      <c r="V54" s="6"/>
      <c r="W54" s="6"/>
    </row>
    <row r="55" spans="4:43" ht="36.75" hidden="1" customHeight="1" x14ac:dyDescent="0.15">
      <c r="E55" s="6" t="s">
        <v>510</v>
      </c>
      <c r="F55" s="6"/>
      <c r="G55" s="6"/>
      <c r="H55" s="6"/>
      <c r="I55" s="6"/>
      <c r="J55" s="6"/>
      <c r="K55" s="6"/>
      <c r="L55" s="6"/>
      <c r="M55" s="6"/>
      <c r="N55" s="6"/>
      <c r="O55" s="6"/>
      <c r="P55" s="6"/>
      <c r="Q55" s="6"/>
      <c r="R55" s="6"/>
      <c r="S55" s="6"/>
      <c r="T55" s="6"/>
      <c r="U55" s="6"/>
      <c r="V55" s="6"/>
      <c r="W55" s="6"/>
    </row>
    <row r="56" spans="4:43" ht="28.5" hidden="1" customHeight="1" x14ac:dyDescent="0.15">
      <c r="E56" s="6" t="s">
        <v>511</v>
      </c>
      <c r="F56" s="6"/>
      <c r="G56" s="6"/>
      <c r="H56" s="6"/>
      <c r="I56" s="6"/>
      <c r="J56" s="6"/>
      <c r="K56" s="6"/>
      <c r="L56" s="6"/>
      <c r="M56" s="6"/>
      <c r="N56" s="6"/>
      <c r="O56" s="6"/>
      <c r="P56" s="6"/>
      <c r="Q56" s="6"/>
      <c r="R56" s="6"/>
      <c r="S56" s="6"/>
      <c r="T56" s="6"/>
      <c r="U56" s="6"/>
      <c r="V56" s="6"/>
      <c r="W56" s="6"/>
    </row>
    <row r="57" spans="4:43" ht="27" hidden="1" customHeight="1" x14ac:dyDescent="0.15">
      <c r="E57" s="6" t="s">
        <v>512</v>
      </c>
      <c r="F57" s="6"/>
      <c r="G57" s="6"/>
      <c r="H57" s="6"/>
      <c r="I57" s="6"/>
      <c r="J57" s="6"/>
      <c r="K57" s="6"/>
      <c r="L57" s="6"/>
      <c r="M57" s="6"/>
      <c r="N57" s="6"/>
      <c r="O57" s="6"/>
      <c r="P57" s="6"/>
      <c r="Q57" s="6"/>
      <c r="R57" s="6"/>
      <c r="S57" s="6"/>
      <c r="T57" s="6"/>
      <c r="U57" s="6"/>
      <c r="V57" s="6"/>
      <c r="W57" s="6"/>
    </row>
    <row r="58" spans="4:43" ht="17.25" hidden="1" customHeight="1" x14ac:dyDescent="0.15">
      <c r="E58" s="6" t="s">
        <v>513</v>
      </c>
      <c r="F58" s="6"/>
      <c r="G58" s="6"/>
      <c r="H58" s="6"/>
      <c r="I58" s="6"/>
      <c r="J58" s="6"/>
      <c r="K58" s="6"/>
      <c r="L58" s="6"/>
      <c r="M58" s="6"/>
      <c r="N58" s="6"/>
      <c r="O58" s="6"/>
      <c r="P58" s="6"/>
      <c r="Q58" s="6"/>
      <c r="R58" s="6"/>
      <c r="S58" s="6"/>
      <c r="T58" s="6"/>
      <c r="U58" s="6"/>
      <c r="V58" s="6"/>
      <c r="W58" s="6"/>
    </row>
    <row r="59" spans="4:43" ht="15" hidden="1" customHeight="1" x14ac:dyDescent="0.15"/>
    <row r="60" spans="4:43" ht="15" hidden="1" customHeight="1" x14ac:dyDescent="0.15">
      <c r="E60" s="6" t="s">
        <v>514</v>
      </c>
      <c r="F60" s="6"/>
      <c r="G60" s="6"/>
      <c r="H60" s="6"/>
      <c r="I60" s="6"/>
      <c r="J60" s="6"/>
      <c r="K60" s="6"/>
      <c r="L60" s="6"/>
      <c r="M60" s="6"/>
      <c r="N60" s="6"/>
      <c r="O60" s="6"/>
      <c r="P60" s="6"/>
      <c r="Q60" s="6"/>
      <c r="R60" s="6"/>
      <c r="S60" s="6"/>
      <c r="T60" s="6"/>
      <c r="U60" s="6"/>
      <c r="V60" s="6"/>
      <c r="W60" s="6"/>
    </row>
    <row r="61" spans="4:43" ht="17.25" hidden="1" customHeight="1" x14ac:dyDescent="0.15">
      <c r="E61" s="6" t="s">
        <v>515</v>
      </c>
      <c r="F61" s="6"/>
      <c r="G61" s="6"/>
      <c r="H61" s="6"/>
      <c r="I61" s="6"/>
      <c r="J61" s="6"/>
      <c r="K61" s="6"/>
      <c r="L61" s="6"/>
      <c r="M61" s="6"/>
      <c r="N61" s="6"/>
      <c r="O61" s="6"/>
      <c r="P61" s="6"/>
      <c r="Q61" s="6"/>
      <c r="R61" s="6"/>
      <c r="S61" s="6"/>
      <c r="T61" s="6"/>
      <c r="U61" s="6"/>
      <c r="V61" s="6"/>
      <c r="W61" s="6"/>
    </row>
    <row r="62" spans="4:43" ht="17.25" hidden="1" customHeight="1" x14ac:dyDescent="0.15">
      <c r="E62" s="6" t="s">
        <v>516</v>
      </c>
      <c r="F62" s="6"/>
      <c r="G62" s="6"/>
      <c r="H62" s="6"/>
      <c r="I62" s="6"/>
      <c r="J62" s="6"/>
      <c r="K62" s="6"/>
      <c r="L62" s="6"/>
      <c r="M62" s="6"/>
      <c r="N62" s="6"/>
      <c r="O62" s="6"/>
      <c r="P62" s="6"/>
      <c r="Q62" s="6"/>
      <c r="R62" s="6"/>
      <c r="S62" s="6"/>
      <c r="T62" s="6"/>
      <c r="U62" s="6"/>
      <c r="V62" s="6"/>
      <c r="W62" s="6"/>
    </row>
    <row r="63" spans="4:43" ht="11.25" hidden="1" customHeight="1" x14ac:dyDescent="0.15"/>
    <row r="64" spans="4:43" ht="17.25" hidden="1" customHeight="1" x14ac:dyDescent="0.15">
      <c r="D64" s="6">
        <v>1</v>
      </c>
      <c r="E64" s="6" t="s">
        <v>517</v>
      </c>
      <c r="F64" s="6" t="s">
        <v>43</v>
      </c>
      <c r="G64" s="6"/>
      <c r="H64" s="6"/>
      <c r="I64" s="6"/>
      <c r="J64" s="6"/>
      <c r="K64" s="6"/>
      <c r="L64" s="6"/>
      <c r="M64" s="6"/>
      <c r="N64" s="6"/>
      <c r="O64" s="6"/>
      <c r="P64" s="6"/>
      <c r="Q64" s="6"/>
      <c r="R64" s="6"/>
      <c r="S64" s="6"/>
      <c r="AC64" t="s">
        <v>518</v>
      </c>
      <c r="AD64" t="s">
        <v>519</v>
      </c>
      <c r="AE64" t="s">
        <v>520</v>
      </c>
      <c r="AF64" t="s">
        <v>521</v>
      </c>
      <c r="AH64" t="str">
        <f>IF($E$64=0,"",$E$64)</f>
        <v>Тариф на питьевую воду (питьевое водоснабжение)</v>
      </c>
      <c r="AI64" t="str">
        <f>IF($G$64=0,"",$G$64)</f>
        <v/>
      </c>
      <c r="AJ64" t="str">
        <f>IF($J$64=0,"",$J$64)</f>
        <v/>
      </c>
      <c r="AK64" t="str">
        <f>IF($K$64="нет","без дифференциации",IF($N$64=0,"",$N$64))</f>
        <v/>
      </c>
      <c r="AL64" t="str">
        <f>IF($O$64="нет","без дифференциации",IF($R$64=0,"",$R$64))</f>
        <v/>
      </c>
      <c r="AM64" t="str">
        <f>IF($S$64="нет","без дифференциации",IF($V$64=0,"",$V$64))</f>
        <v/>
      </c>
      <c r="AN64">
        <f>$I$64</f>
        <v>0</v>
      </c>
      <c r="AO64" t="str">
        <f>$I$64&amp;"."&amp;$M$64</f>
        <v>.</v>
      </c>
      <c r="AP64" t="str">
        <f>$I$64&amp;"."&amp;$M$64&amp;"."&amp;$Q$64</f>
        <v>..</v>
      </c>
      <c r="AQ64" t="str">
        <f>$I$64&amp;"."&amp;$M$64&amp;"."&amp;$Q$64&amp;"."&amp;$U$64</f>
        <v>...</v>
      </c>
    </row>
    <row r="65" spans="4:43" ht="17.25" hidden="1" customHeight="1" x14ac:dyDescent="0.15">
      <c r="D65" s="6"/>
      <c r="E65" s="6"/>
      <c r="F65" s="6"/>
      <c r="G65" s="6"/>
      <c r="H65" s="6"/>
      <c r="I65" s="6"/>
      <c r="J65" s="6"/>
      <c r="K65" s="6"/>
      <c r="L65" s="6"/>
      <c r="M65" s="6"/>
      <c r="N65" s="6"/>
      <c r="O65" s="6"/>
      <c r="P65" s="6"/>
      <c r="Q65" s="6"/>
      <c r="R65" s="6"/>
      <c r="S65" s="6"/>
    </row>
    <row r="66" spans="4:43" ht="17.25" hidden="1" customHeight="1" x14ac:dyDescent="0.15">
      <c r="D66" s="6"/>
      <c r="E66" s="6"/>
      <c r="F66" s="6"/>
      <c r="G66" s="6"/>
      <c r="H66" s="6"/>
      <c r="I66" s="6"/>
      <c r="J66" s="6"/>
      <c r="K66" s="6"/>
      <c r="L66" s="6"/>
      <c r="M66" s="6"/>
      <c r="N66" s="6"/>
      <c r="O66" s="6"/>
    </row>
    <row r="67" spans="4:43" ht="17.25" hidden="1" customHeight="1" x14ac:dyDescent="0.15">
      <c r="D67" s="6"/>
      <c r="E67" s="6"/>
      <c r="F67" s="6"/>
      <c r="G67" s="6"/>
      <c r="H67" s="6"/>
      <c r="I67" s="6"/>
      <c r="J67" s="6"/>
      <c r="K67" s="6"/>
    </row>
    <row r="68" spans="4:43" ht="17.25" hidden="1" customHeight="1" x14ac:dyDescent="0.15">
      <c r="D68" s="6"/>
      <c r="E68" s="6"/>
      <c r="F68" s="6"/>
      <c r="G68" s="6"/>
    </row>
    <row r="69" spans="4:43" ht="17.25" hidden="1" customHeight="1" x14ac:dyDescent="0.15">
      <c r="D69" s="6">
        <v>2</v>
      </c>
      <c r="E69" s="6" t="s">
        <v>522</v>
      </c>
      <c r="F69" s="6" t="s">
        <v>43</v>
      </c>
      <c r="G69" s="6"/>
      <c r="H69" s="6"/>
      <c r="I69" s="6"/>
      <c r="J69" s="6"/>
      <c r="K69" s="6"/>
      <c r="L69" s="6"/>
      <c r="M69" s="6"/>
      <c r="N69" s="6"/>
      <c r="O69" s="6"/>
      <c r="P69" s="6"/>
      <c r="Q69" s="6"/>
      <c r="R69" s="6"/>
      <c r="S69" s="6"/>
      <c r="AC69" t="s">
        <v>523</v>
      </c>
      <c r="AD69" t="s">
        <v>524</v>
      </c>
      <c r="AE69" t="s">
        <v>525</v>
      </c>
      <c r="AF69" t="s">
        <v>526</v>
      </c>
      <c r="AH69" t="str">
        <f>IF($E$69=0,"",$E$69)</f>
        <v>Тариф на техническую воду</v>
      </c>
      <c r="AI69" t="str">
        <f>IF($G$69=0,"",$G$69)</f>
        <v/>
      </c>
      <c r="AJ69" t="str">
        <f>IF($J$69=0,"",$J$69)</f>
        <v/>
      </c>
      <c r="AK69" t="str">
        <f>IF($K$69="нет","без дифференциации",IF($N$69=0,"",$N$69))</f>
        <v/>
      </c>
      <c r="AL69" t="str">
        <f>IF($O$69="нет","без дифференциации",IF($R$69=0,"",$R$69))</f>
        <v/>
      </c>
      <c r="AM69" t="str">
        <f>IF($S$69="нет","без дифференциации",IF($V$69=0,"",$V$69))</f>
        <v/>
      </c>
      <c r="AN69">
        <f>$I$69</f>
        <v>0</v>
      </c>
      <c r="AO69" t="str">
        <f>$I$69&amp;"."&amp;$M$69</f>
        <v>.</v>
      </c>
      <c r="AP69" t="str">
        <f>$I$69&amp;"."&amp;$M$69&amp;"."&amp;$Q$69</f>
        <v>..</v>
      </c>
      <c r="AQ69" t="str">
        <f>$I$69&amp;"."&amp;$M$69&amp;"."&amp;$Q$69&amp;"."&amp;$U$69</f>
        <v>...</v>
      </c>
    </row>
    <row r="70" spans="4:43" ht="17.25" hidden="1" customHeight="1" x14ac:dyDescent="0.15">
      <c r="D70" s="6"/>
      <c r="E70" s="6"/>
      <c r="F70" s="6"/>
      <c r="G70" s="6"/>
      <c r="H70" s="6"/>
      <c r="I70" s="6"/>
      <c r="J70" s="6"/>
      <c r="K70" s="6"/>
      <c r="L70" s="6"/>
      <c r="M70" s="6"/>
      <c r="N70" s="6"/>
      <c r="O70" s="6"/>
      <c r="P70" s="6"/>
      <c r="Q70" s="6"/>
      <c r="R70" s="6"/>
      <c r="S70" s="6"/>
    </row>
    <row r="71" spans="4:43" ht="17.25" hidden="1" customHeight="1" x14ac:dyDescent="0.15">
      <c r="D71" s="6"/>
      <c r="E71" s="6"/>
      <c r="F71" s="6"/>
      <c r="G71" s="6"/>
      <c r="H71" s="6"/>
      <c r="I71" s="6"/>
      <c r="J71" s="6"/>
      <c r="K71" s="6"/>
      <c r="L71" s="6"/>
      <c r="M71" s="6"/>
      <c r="N71" s="6"/>
      <c r="O71" s="6"/>
    </row>
    <row r="72" spans="4:43" ht="17.25" hidden="1" customHeight="1" x14ac:dyDescent="0.15">
      <c r="D72" s="6"/>
      <c r="E72" s="6"/>
      <c r="F72" s="6"/>
      <c r="G72" s="6"/>
      <c r="H72" s="6"/>
      <c r="I72" s="6"/>
      <c r="J72" s="6"/>
      <c r="K72" s="6"/>
    </row>
    <row r="73" spans="4:43" ht="17.25" hidden="1" customHeight="1" x14ac:dyDescent="0.15">
      <c r="D73" s="6"/>
      <c r="E73" s="6"/>
      <c r="F73" s="6"/>
      <c r="G73" s="6"/>
    </row>
    <row r="74" spans="4:43" ht="17.25" hidden="1" customHeight="1" x14ac:dyDescent="0.15">
      <c r="D74" s="6">
        <v>3</v>
      </c>
      <c r="E74" s="6" t="s">
        <v>527</v>
      </c>
      <c r="F74" s="6" t="s">
        <v>43</v>
      </c>
      <c r="G74" s="6"/>
      <c r="H74" s="6"/>
      <c r="I74" s="6"/>
      <c r="J74" s="6"/>
      <c r="K74" s="6"/>
      <c r="L74" s="6"/>
      <c r="M74" s="6"/>
      <c r="N74" s="6"/>
      <c r="O74" s="6"/>
      <c r="P74" s="6"/>
      <c r="Q74" s="6"/>
      <c r="R74" s="6"/>
      <c r="S74" s="6"/>
      <c r="AC74" t="s">
        <v>528</v>
      </c>
      <c r="AD74" t="s">
        <v>529</v>
      </c>
      <c r="AE74" t="s">
        <v>530</v>
      </c>
      <c r="AF74" t="s">
        <v>531</v>
      </c>
      <c r="AH74" t="str">
        <f>IF($E$74=0,"",$E$74)</f>
        <v>Тариф на транспортировку воды</v>
      </c>
      <c r="AI74" t="str">
        <f>IF($G$74=0,"",$G$74)</f>
        <v/>
      </c>
      <c r="AJ74" t="str">
        <f>IF($J$74=0,"",$J$74)</f>
        <v/>
      </c>
      <c r="AK74" t="str">
        <f>IF($K$74="нет","без дифференциации",IF($N$74=0,"",$N$74))</f>
        <v/>
      </c>
      <c r="AL74" t="str">
        <f>IF($O$74="нет","без дифференциации",IF($R$74=0,"",$R$74))</f>
        <v/>
      </c>
      <c r="AM74" t="str">
        <f>IF($S$74="нет","без дифференциации",IF($V$74=0,"",$V$74))</f>
        <v/>
      </c>
      <c r="AN74">
        <f>$I$74</f>
        <v>0</v>
      </c>
      <c r="AO74" t="str">
        <f>$I$74&amp;"."&amp;$M$74</f>
        <v>.</v>
      </c>
      <c r="AP74" t="str">
        <f>$I$74&amp;"."&amp;$M$74&amp;"."&amp;$Q$74</f>
        <v>..</v>
      </c>
      <c r="AQ74" t="str">
        <f>$I$74&amp;"."&amp;$M$74&amp;"."&amp;$Q$74&amp;"."&amp;$U$74</f>
        <v>...</v>
      </c>
    </row>
    <row r="75" spans="4:43" ht="17.25" hidden="1" customHeight="1" x14ac:dyDescent="0.15">
      <c r="D75" s="6"/>
      <c r="E75" s="6"/>
      <c r="F75" s="6"/>
      <c r="G75" s="6"/>
      <c r="H75" s="6"/>
      <c r="I75" s="6"/>
      <c r="J75" s="6"/>
      <c r="K75" s="6"/>
      <c r="L75" s="6"/>
      <c r="M75" s="6"/>
      <c r="N75" s="6"/>
      <c r="O75" s="6"/>
      <c r="P75" s="6"/>
      <c r="Q75" s="6"/>
      <c r="R75" s="6"/>
      <c r="S75" s="6"/>
    </row>
    <row r="76" spans="4:43" ht="17.25" hidden="1" customHeight="1" x14ac:dyDescent="0.15">
      <c r="D76" s="6"/>
      <c r="E76" s="6"/>
      <c r="F76" s="6"/>
      <c r="G76" s="6"/>
      <c r="H76" s="6"/>
      <c r="I76" s="6"/>
      <c r="J76" s="6"/>
      <c r="K76" s="6"/>
      <c r="L76" s="6"/>
      <c r="M76" s="6"/>
      <c r="N76" s="6"/>
      <c r="O76" s="6"/>
    </row>
    <row r="77" spans="4:43" ht="17.25" hidden="1" customHeight="1" x14ac:dyDescent="0.15">
      <c r="D77" s="6"/>
      <c r="E77" s="6"/>
      <c r="F77" s="6"/>
      <c r="G77" s="6"/>
      <c r="H77" s="6"/>
      <c r="I77" s="6"/>
      <c r="J77" s="6"/>
      <c r="K77" s="6"/>
    </row>
    <row r="78" spans="4:43" ht="17.25" hidden="1" customHeight="1" x14ac:dyDescent="0.15">
      <c r="D78" s="6"/>
      <c r="E78" s="6"/>
      <c r="F78" s="6"/>
      <c r="G78" s="6"/>
    </row>
    <row r="79" spans="4:43" ht="17.25" hidden="1" customHeight="1" x14ac:dyDescent="0.15">
      <c r="D79" s="6">
        <v>4</v>
      </c>
      <c r="E79" s="6" t="s">
        <v>532</v>
      </c>
      <c r="F79" s="6" t="s">
        <v>43</v>
      </c>
      <c r="G79" s="6"/>
      <c r="H79" s="6"/>
      <c r="I79" s="6"/>
      <c r="J79" s="6"/>
      <c r="K79" s="6"/>
      <c r="L79" s="6"/>
      <c r="M79" s="6"/>
      <c r="N79" s="6"/>
      <c r="O79" s="6"/>
      <c r="P79" s="6"/>
      <c r="Q79" s="6"/>
      <c r="R79" s="6"/>
      <c r="S79" s="6"/>
      <c r="AC79" t="s">
        <v>533</v>
      </c>
      <c r="AD79" t="s">
        <v>534</v>
      </c>
      <c r="AE79" t="s">
        <v>535</v>
      </c>
      <c r="AF79" t="s">
        <v>536</v>
      </c>
      <c r="AH79" t="str">
        <f>IF($E$79=0,"",$E$79)</f>
        <v>Тариф на подвоз воды</v>
      </c>
      <c r="AI79" t="str">
        <f>IF($G$79=0,"",$G$79)</f>
        <v/>
      </c>
      <c r="AJ79" t="str">
        <f>IF($J$79=0,"",$J$79)</f>
        <v/>
      </c>
      <c r="AK79" t="str">
        <f>IF($K$79="нет","без дифференциации",IF($N$79=0,"",$N$79))</f>
        <v/>
      </c>
      <c r="AL79" t="str">
        <f>IF($O$79="нет","без дифференциации",IF($R$79=0,"",$R$79))</f>
        <v/>
      </c>
      <c r="AM79" t="str">
        <f>IF($S$79="нет","без дифференциации",IF($V$79=0,"",$V$79))</f>
        <v/>
      </c>
      <c r="AN79">
        <f>$I$79</f>
        <v>0</v>
      </c>
      <c r="AO79" t="str">
        <f>$I$79&amp;"."&amp;$M$79</f>
        <v>.</v>
      </c>
      <c r="AP79" t="str">
        <f>$I$79&amp;"."&amp;$M$79&amp;"."&amp;$Q$79</f>
        <v>..</v>
      </c>
      <c r="AQ79" t="str">
        <f>$I$79&amp;"."&amp;$M$79&amp;"."&amp;$Q$79&amp;"."&amp;$U$79</f>
        <v>...</v>
      </c>
    </row>
    <row r="80" spans="4:43" ht="17.25" hidden="1" customHeight="1" x14ac:dyDescent="0.15">
      <c r="D80" s="6"/>
      <c r="E80" s="6"/>
      <c r="F80" s="6"/>
      <c r="G80" s="6"/>
      <c r="H80" s="6"/>
      <c r="I80" s="6"/>
      <c r="J80" s="6"/>
      <c r="K80" s="6"/>
      <c r="L80" s="6"/>
      <c r="M80" s="6"/>
      <c r="N80" s="6"/>
      <c r="O80" s="6"/>
      <c r="P80" s="6"/>
      <c r="Q80" s="6"/>
      <c r="R80" s="6"/>
      <c r="S80" s="6"/>
    </row>
    <row r="81" spans="4:43" ht="17.25" hidden="1" customHeight="1" x14ac:dyDescent="0.15">
      <c r="D81" s="6"/>
      <c r="E81" s="6"/>
      <c r="F81" s="6"/>
      <c r="G81" s="6"/>
      <c r="H81" s="6"/>
      <c r="I81" s="6"/>
      <c r="J81" s="6"/>
      <c r="K81" s="6"/>
      <c r="L81" s="6"/>
      <c r="M81" s="6"/>
      <c r="N81" s="6"/>
      <c r="O81" s="6"/>
    </row>
    <row r="82" spans="4:43" ht="17.25" hidden="1" customHeight="1" x14ac:dyDescent="0.15">
      <c r="D82" s="6"/>
      <c r="E82" s="6"/>
      <c r="F82" s="6"/>
      <c r="G82" s="6"/>
      <c r="H82" s="6"/>
      <c r="I82" s="6"/>
      <c r="J82" s="6"/>
      <c r="K82" s="6"/>
    </row>
    <row r="83" spans="4:43" ht="17.25" hidden="1" customHeight="1" x14ac:dyDescent="0.15">
      <c r="D83" s="6"/>
      <c r="E83" s="6"/>
      <c r="F83" s="6"/>
      <c r="G83" s="6"/>
    </row>
    <row r="84" spans="4:43" ht="17.25" hidden="1" customHeight="1" x14ac:dyDescent="0.15">
      <c r="D84" s="6">
        <v>5</v>
      </c>
      <c r="E84" s="6" t="s">
        <v>537</v>
      </c>
      <c r="F84" s="6" t="s">
        <v>43</v>
      </c>
      <c r="G84" s="6"/>
      <c r="H84" s="6"/>
      <c r="I84" s="6"/>
      <c r="J84" s="6"/>
      <c r="K84" s="6"/>
      <c r="L84" s="6"/>
      <c r="M84" s="6"/>
      <c r="N84" s="6"/>
      <c r="O84" s="6"/>
      <c r="P84" s="6"/>
      <c r="Q84" s="6"/>
      <c r="R84" s="6"/>
      <c r="S84" s="6"/>
      <c r="AC84" t="s">
        <v>538</v>
      </c>
      <c r="AD84" t="s">
        <v>539</v>
      </c>
      <c r="AE84" t="s">
        <v>540</v>
      </c>
      <c r="AF84" t="s">
        <v>541</v>
      </c>
      <c r="AH84" t="str">
        <f>IF($E$84=0,"",$E$84)</f>
        <v>Тариф на подключение (технологическое присоединение) к централизованной системе холодного водоснабжения</v>
      </c>
      <c r="AI84" t="str">
        <f>IF($G$84=0,"",$G$84)</f>
        <v/>
      </c>
      <c r="AJ84" t="str">
        <f>IF($J$84=0,"",$J$84)</f>
        <v/>
      </c>
      <c r="AK84" t="str">
        <f>IF($K$84="нет","без дифференциации",IF($N$84=0,"",$N$84))</f>
        <v/>
      </c>
      <c r="AL84" t="str">
        <f>IF($O$84="нет","без дифференциации",IF($R$84=0,"",$R$84))</f>
        <v/>
      </c>
      <c r="AM84" t="str">
        <f>IF($S$84="нет","без дифференциации",IF($V$84=0,"",$V$84))</f>
        <v/>
      </c>
      <c r="AN84">
        <f>$I$84</f>
        <v>0</v>
      </c>
      <c r="AO84" t="str">
        <f>$I$84&amp;"."&amp;$M$84</f>
        <v>.</v>
      </c>
      <c r="AP84" t="str">
        <f>$I$84&amp;"."&amp;$M$84&amp;"."&amp;$Q$84</f>
        <v>..</v>
      </c>
      <c r="AQ84" t="str">
        <f>$I$84&amp;"."&amp;$M$84&amp;"."&amp;$Q$84&amp;"."&amp;$U$84</f>
        <v>...</v>
      </c>
    </row>
    <row r="85" spans="4:43" ht="17.25" hidden="1" customHeight="1" x14ac:dyDescent="0.15">
      <c r="D85" s="6"/>
      <c r="E85" s="6"/>
      <c r="F85" s="6"/>
      <c r="G85" s="6"/>
      <c r="H85" s="6"/>
      <c r="I85" s="6"/>
      <c r="J85" s="6"/>
      <c r="K85" s="6"/>
      <c r="L85" s="6"/>
      <c r="M85" s="6"/>
      <c r="N85" s="6"/>
      <c r="O85" s="6"/>
      <c r="P85" s="6"/>
      <c r="Q85" s="6"/>
      <c r="R85" s="6"/>
      <c r="S85" s="6"/>
    </row>
    <row r="86" spans="4:43" ht="17.25" hidden="1" customHeight="1" x14ac:dyDescent="0.15">
      <c r="D86" s="6"/>
      <c r="E86" s="6"/>
      <c r="F86" s="6"/>
      <c r="G86" s="6"/>
      <c r="H86" s="6"/>
      <c r="I86" s="6"/>
      <c r="J86" s="6"/>
      <c r="K86" s="6"/>
      <c r="L86" s="6"/>
      <c r="M86" s="6"/>
      <c r="N86" s="6"/>
      <c r="O86" s="6"/>
    </row>
    <row r="87" spans="4:43" ht="17.25" hidden="1" customHeight="1" x14ac:dyDescent="0.15">
      <c r="D87" s="6"/>
      <c r="E87" s="6"/>
      <c r="F87" s="6"/>
      <c r="G87" s="6"/>
      <c r="H87" s="6"/>
      <c r="I87" s="6"/>
      <c r="J87" s="6"/>
      <c r="K87" s="6"/>
    </row>
    <row r="88" spans="4:43" ht="17.25" hidden="1" customHeight="1" x14ac:dyDescent="0.15">
      <c r="D88" s="6"/>
      <c r="E88" s="6"/>
      <c r="F88" s="6"/>
      <c r="G88" s="6"/>
    </row>
    <row r="89" spans="4:43" ht="11.25" hidden="1" customHeight="1" x14ac:dyDescent="0.15"/>
    <row r="90" spans="4:43" ht="17.25" hidden="1" customHeight="1" x14ac:dyDescent="0.15">
      <c r="D90" s="6">
        <v>1</v>
      </c>
      <c r="E90" s="6" t="s">
        <v>542</v>
      </c>
      <c r="F90" s="6" t="s">
        <v>43</v>
      </c>
      <c r="G90" s="6"/>
      <c r="H90" s="6"/>
      <c r="I90" s="6"/>
      <c r="J90" s="6"/>
      <c r="K90" s="6"/>
      <c r="L90" s="6"/>
      <c r="M90" s="6"/>
      <c r="N90" s="6"/>
      <c r="O90" s="6"/>
      <c r="P90" s="6"/>
      <c r="Q90" s="6"/>
      <c r="R90" s="6"/>
      <c r="S90" s="6"/>
      <c r="AC90" t="s">
        <v>543</v>
      </c>
      <c r="AD90" t="s">
        <v>544</v>
      </c>
      <c r="AE90" t="s">
        <v>545</v>
      </c>
      <c r="AF90" t="s">
        <v>546</v>
      </c>
      <c r="AH90" t="str">
        <f>IF($E$90=0,"",$E$90)</f>
        <v>Тариф на горячую воду (горячее водоснабжение)</v>
      </c>
      <c r="AI90" t="str">
        <f>IF($G$90=0,"",$G$90)</f>
        <v/>
      </c>
      <c r="AJ90" t="str">
        <f>IF($J$90=0,"",$J$90)</f>
        <v/>
      </c>
      <c r="AK90" t="str">
        <f>IF($K$90="нет","без дифференциации",IF($N$90=0,"",$N$90))</f>
        <v/>
      </c>
      <c r="AL90" t="str">
        <f>IF($O$90="нет","без дифференциации",IF($R$90=0,"",$R$90))</f>
        <v/>
      </c>
      <c r="AM90" t="str">
        <f>IF($S$90="нет","без дифференциации",IF($V$90=0,"",$V$90))</f>
        <v/>
      </c>
      <c r="AN90">
        <f>$I$90</f>
        <v>0</v>
      </c>
      <c r="AO90" t="str">
        <f>$I$90&amp;"."&amp;$M$90</f>
        <v>.</v>
      </c>
      <c r="AP90" t="str">
        <f>$I$90&amp;"."&amp;$M$90&amp;"."&amp;$Q$90</f>
        <v>..</v>
      </c>
      <c r="AQ90" t="str">
        <f>$I$90&amp;"."&amp;$M$90&amp;"."&amp;$Q$90&amp;"."&amp;$U$90</f>
        <v>...</v>
      </c>
    </row>
    <row r="91" spans="4:43" ht="17.25" hidden="1" customHeight="1" x14ac:dyDescent="0.15">
      <c r="D91" s="6"/>
      <c r="E91" s="6"/>
      <c r="F91" s="6"/>
      <c r="G91" s="6"/>
      <c r="H91" s="6"/>
      <c r="I91" s="6"/>
      <c r="J91" s="6"/>
      <c r="K91" s="6"/>
      <c r="L91" s="6"/>
      <c r="M91" s="6"/>
      <c r="N91" s="6"/>
      <c r="O91" s="6"/>
      <c r="P91" s="6"/>
      <c r="Q91" s="6"/>
      <c r="R91" s="6"/>
      <c r="S91" s="6"/>
    </row>
    <row r="92" spans="4:43" ht="17.25" hidden="1" customHeight="1" x14ac:dyDescent="0.15">
      <c r="D92" s="6"/>
      <c r="E92" s="6"/>
      <c r="F92" s="6"/>
      <c r="G92" s="6"/>
      <c r="H92" s="6"/>
      <c r="I92" s="6"/>
      <c r="J92" s="6"/>
      <c r="K92" s="6"/>
      <c r="L92" s="6"/>
      <c r="M92" s="6"/>
      <c r="N92" s="6"/>
      <c r="O92" s="6"/>
    </row>
    <row r="93" spans="4:43" ht="17.25" hidden="1" customHeight="1" x14ac:dyDescent="0.15">
      <c r="D93" s="6"/>
      <c r="E93" s="6"/>
      <c r="F93" s="6"/>
      <c r="G93" s="6"/>
      <c r="H93" s="6"/>
      <c r="I93" s="6"/>
      <c r="J93" s="6"/>
      <c r="K93" s="6"/>
    </row>
    <row r="94" spans="4:43" ht="17.25" hidden="1" customHeight="1" x14ac:dyDescent="0.15">
      <c r="D94" s="6"/>
      <c r="E94" s="6"/>
      <c r="F94" s="6"/>
      <c r="G94" s="6"/>
    </row>
    <row r="95" spans="4:43" ht="17.25" hidden="1" customHeight="1" x14ac:dyDescent="0.15">
      <c r="D95" s="6">
        <v>2</v>
      </c>
      <c r="E95" s="6" t="s">
        <v>547</v>
      </c>
      <c r="F95" s="6" t="s">
        <v>43</v>
      </c>
      <c r="G95" s="6"/>
      <c r="H95" s="6"/>
      <c r="I95" s="6"/>
      <c r="J95" s="6"/>
      <c r="K95" s="6"/>
      <c r="L95" s="6"/>
      <c r="M95" s="6"/>
      <c r="N95" s="6"/>
      <c r="O95" s="6"/>
      <c r="P95" s="6"/>
      <c r="Q95" s="6"/>
      <c r="R95" s="6"/>
      <c r="S95" s="6"/>
      <c r="AC95" t="s">
        <v>548</v>
      </c>
      <c r="AD95" t="s">
        <v>549</v>
      </c>
      <c r="AE95" t="s">
        <v>550</v>
      </c>
      <c r="AF95" t="s">
        <v>551</v>
      </c>
      <c r="AH95" t="str">
        <f>IF($E$95=0,"",$E$95)</f>
        <v>Тариф на транспортировку горячей воды</v>
      </c>
      <c r="AI95" t="str">
        <f>IF($G$95=0,"",$G$95)</f>
        <v/>
      </c>
      <c r="AJ95" t="str">
        <f>IF($J$95=0,"",$J$95)</f>
        <v/>
      </c>
      <c r="AK95" t="str">
        <f>IF($K$95="нет","без дифференциации",IF($N$95=0,"",$N$95))</f>
        <v/>
      </c>
      <c r="AL95" t="str">
        <f>IF($O$95="нет","без дифференциации",IF($R$95=0,"",$R$95))</f>
        <v/>
      </c>
      <c r="AM95" t="str">
        <f>IF($S$95="нет","без дифференциации",IF($V$95=0,"",$V$95))</f>
        <v/>
      </c>
      <c r="AN95">
        <f>$I$95</f>
        <v>0</v>
      </c>
      <c r="AO95" t="str">
        <f>$I$95&amp;"."&amp;$M$95</f>
        <v>.</v>
      </c>
      <c r="AP95" t="str">
        <f>$I$95&amp;"."&amp;$M$95&amp;"."&amp;$Q$95</f>
        <v>..</v>
      </c>
      <c r="AQ95" t="str">
        <f>$I$95&amp;"."&amp;$M$95&amp;"."&amp;$Q$95&amp;"."&amp;$U$95</f>
        <v>...</v>
      </c>
    </row>
    <row r="96" spans="4:43" ht="17.25" hidden="1" customHeight="1" x14ac:dyDescent="0.15">
      <c r="D96" s="6"/>
      <c r="E96" s="6"/>
      <c r="F96" s="6"/>
      <c r="G96" s="6"/>
      <c r="H96" s="6"/>
      <c r="I96" s="6"/>
      <c r="J96" s="6"/>
      <c r="K96" s="6"/>
      <c r="L96" s="6"/>
      <c r="M96" s="6"/>
      <c r="N96" s="6"/>
      <c r="O96" s="6"/>
      <c r="P96" s="6"/>
      <c r="Q96" s="6"/>
      <c r="R96" s="6"/>
      <c r="S96" s="6"/>
    </row>
    <row r="97" spans="4:43" ht="17.25" hidden="1" customHeight="1" x14ac:dyDescent="0.15">
      <c r="D97" s="6"/>
      <c r="E97" s="6"/>
      <c r="F97" s="6"/>
      <c r="G97" s="6"/>
      <c r="H97" s="6"/>
      <c r="I97" s="6"/>
      <c r="J97" s="6"/>
      <c r="K97" s="6"/>
      <c r="L97" s="6"/>
      <c r="M97" s="6"/>
      <c r="N97" s="6"/>
      <c r="O97" s="6"/>
    </row>
    <row r="98" spans="4:43" ht="17.25" hidden="1" customHeight="1" x14ac:dyDescent="0.15">
      <c r="D98" s="6"/>
      <c r="E98" s="6"/>
      <c r="F98" s="6"/>
      <c r="G98" s="6"/>
      <c r="H98" s="6"/>
      <c r="I98" s="6"/>
      <c r="J98" s="6"/>
      <c r="K98" s="6"/>
    </row>
    <row r="99" spans="4:43" ht="17.25" hidden="1" customHeight="1" x14ac:dyDescent="0.15">
      <c r="D99" s="6"/>
      <c r="E99" s="6"/>
      <c r="F99" s="6"/>
      <c r="G99" s="6"/>
    </row>
    <row r="100" spans="4:43" ht="17.25" hidden="1" customHeight="1" x14ac:dyDescent="0.15">
      <c r="D100" s="6">
        <v>3</v>
      </c>
      <c r="E100" s="6" t="s">
        <v>552</v>
      </c>
      <c r="F100" s="6" t="s">
        <v>43</v>
      </c>
      <c r="G100" s="6"/>
      <c r="H100" s="6"/>
      <c r="I100" s="6"/>
      <c r="J100" s="6"/>
      <c r="K100" s="6"/>
      <c r="L100" s="6"/>
      <c r="M100" s="6"/>
      <c r="N100" s="6"/>
      <c r="O100" s="6"/>
      <c r="P100" s="6"/>
      <c r="Q100" s="6"/>
      <c r="R100" s="6"/>
      <c r="S100" s="6"/>
      <c r="AC100" t="s">
        <v>553</v>
      </c>
      <c r="AD100" t="s">
        <v>554</v>
      </c>
      <c r="AE100" t="s">
        <v>555</v>
      </c>
      <c r="AF100" t="s">
        <v>556</v>
      </c>
      <c r="AH100" t="str">
        <f>IF($E$100=0,"",$E$100)</f>
        <v>Тариф на подключение (технологическое присоединение) к централизованной системе горячего водоснабжения</v>
      </c>
      <c r="AI100" t="str">
        <f>IF($G$100=0,"",$G$100)</f>
        <v/>
      </c>
      <c r="AJ100" t="str">
        <f>IF($J$100=0,"",$J$100)</f>
        <v/>
      </c>
      <c r="AK100" t="str">
        <f>IF($K$100="нет","без дифференциации",IF($N$100=0,"",$N$100))</f>
        <v/>
      </c>
      <c r="AL100" t="str">
        <f>IF($O$100="нет","без дифференциации",IF($R$100=0,"",$R$100))</f>
        <v/>
      </c>
      <c r="AM100" t="str">
        <f>IF($S$100="нет","без дифференциации",IF($V$100=0,"",$V$100))</f>
        <v/>
      </c>
      <c r="AN100">
        <f>$I$100</f>
        <v>0</v>
      </c>
      <c r="AO100" t="str">
        <f>$I$100&amp;"."&amp;$M$100</f>
        <v>.</v>
      </c>
      <c r="AP100" t="str">
        <f>$I$100&amp;"."&amp;$M$100&amp;"."&amp;$Q$100</f>
        <v>..</v>
      </c>
      <c r="AQ100" t="str">
        <f>$I$100&amp;"."&amp;$M$100&amp;"."&amp;$Q$100&amp;"."&amp;$U$100</f>
        <v>...</v>
      </c>
    </row>
    <row r="101" spans="4:43" ht="17.25" hidden="1" customHeight="1" x14ac:dyDescent="0.15">
      <c r="D101" s="6"/>
      <c r="E101" s="6"/>
      <c r="F101" s="6"/>
      <c r="G101" s="6"/>
      <c r="H101" s="6"/>
      <c r="I101" s="6"/>
      <c r="J101" s="6"/>
      <c r="K101" s="6"/>
      <c r="L101" s="6"/>
      <c r="M101" s="6"/>
      <c r="N101" s="6"/>
      <c r="O101" s="6"/>
      <c r="P101" s="6"/>
      <c r="Q101" s="6"/>
      <c r="R101" s="6"/>
      <c r="S101" s="6"/>
    </row>
    <row r="102" spans="4:43" ht="17.25" hidden="1" customHeight="1" x14ac:dyDescent="0.15">
      <c r="D102" s="6"/>
      <c r="E102" s="6"/>
      <c r="F102" s="6"/>
      <c r="G102" s="6"/>
      <c r="H102" s="6"/>
      <c r="I102" s="6"/>
      <c r="J102" s="6"/>
      <c r="K102" s="6"/>
      <c r="L102" s="6"/>
      <c r="M102" s="6"/>
      <c r="N102" s="6"/>
      <c r="O102" s="6"/>
    </row>
    <row r="103" spans="4:43" ht="17.25" hidden="1" customHeight="1" x14ac:dyDescent="0.15">
      <c r="D103" s="6"/>
      <c r="E103" s="6"/>
      <c r="F103" s="6"/>
      <c r="G103" s="6"/>
      <c r="H103" s="6"/>
      <c r="I103" s="6"/>
      <c r="J103" s="6"/>
      <c r="K103" s="6"/>
    </row>
    <row r="104" spans="4:43" ht="17.25" hidden="1" customHeight="1" x14ac:dyDescent="0.15">
      <c r="D104" s="6"/>
      <c r="E104" s="6"/>
      <c r="F104" s="6"/>
      <c r="G104" s="6"/>
    </row>
    <row r="105" spans="4:43" ht="11.25" hidden="1" customHeight="1" x14ac:dyDescent="0.15"/>
    <row r="106" spans="4:43" ht="17.25" hidden="1" customHeight="1" x14ac:dyDescent="0.15">
      <c r="D106" s="6">
        <v>1</v>
      </c>
      <c r="E106" s="6" t="s">
        <v>557</v>
      </c>
      <c r="F106" s="6" t="s">
        <v>43</v>
      </c>
      <c r="G106" s="6"/>
      <c r="H106" s="6"/>
      <c r="I106" s="6"/>
      <c r="J106" s="6"/>
      <c r="K106" s="6"/>
      <c r="L106" s="6"/>
      <c r="M106" s="6"/>
      <c r="N106" s="6"/>
      <c r="O106" s="6"/>
      <c r="P106" s="6"/>
      <c r="Q106" s="6"/>
      <c r="R106" s="6"/>
      <c r="S106" s="6"/>
      <c r="AC106" t="s">
        <v>558</v>
      </c>
      <c r="AD106" t="s">
        <v>559</v>
      </c>
      <c r="AE106" t="s">
        <v>560</v>
      </c>
      <c r="AF106" t="s">
        <v>561</v>
      </c>
      <c r="AH106" t="str">
        <f>IF($E$106=0,"",$E$106)</f>
        <v>Тариф на водоотведение</v>
      </c>
      <c r="AI106" t="str">
        <f>IF($G$106=0,"",$G$106)</f>
        <v/>
      </c>
      <c r="AJ106" t="str">
        <f>IF($J$106=0,"",$J$106)</f>
        <v/>
      </c>
      <c r="AK106" t="str">
        <f>IF($K$106="нет","без дифференциации",IF($N$106=0,"",$N$106))</f>
        <v/>
      </c>
      <c r="AL106" t="str">
        <f>IF($O$106="нет","без дифференциации",IF($R$106=0,"",$R$106))</f>
        <v/>
      </c>
      <c r="AM106" t="str">
        <f>IF($S$106="нет","без дифференциации",IF($V$106=0,"",$V$106))</f>
        <v/>
      </c>
      <c r="AN106">
        <f>$I$106</f>
        <v>0</v>
      </c>
      <c r="AO106" t="str">
        <f>$I$106&amp;"."&amp;$M$106</f>
        <v>.</v>
      </c>
      <c r="AP106" t="str">
        <f>$I$106&amp;"."&amp;$M$106&amp;"."&amp;$Q$106</f>
        <v>..</v>
      </c>
      <c r="AQ106" t="str">
        <f>$I$106&amp;"."&amp;$M$106&amp;"."&amp;$Q$106&amp;"."&amp;$U$106</f>
        <v>...</v>
      </c>
    </row>
    <row r="107" spans="4:43" ht="17.25" hidden="1" customHeight="1" x14ac:dyDescent="0.15">
      <c r="D107" s="6"/>
      <c r="E107" s="6"/>
      <c r="F107" s="6"/>
      <c r="G107" s="6"/>
      <c r="H107" s="6"/>
      <c r="I107" s="6"/>
      <c r="J107" s="6"/>
      <c r="K107" s="6"/>
      <c r="L107" s="6"/>
      <c r="M107" s="6"/>
      <c r="N107" s="6"/>
      <c r="O107" s="6"/>
      <c r="P107" s="6"/>
      <c r="Q107" s="6"/>
      <c r="R107" s="6"/>
      <c r="S107" s="6"/>
    </row>
    <row r="108" spans="4:43" ht="17.25" hidden="1" customHeight="1" x14ac:dyDescent="0.15">
      <c r="D108" s="6"/>
      <c r="E108" s="6"/>
      <c r="F108" s="6"/>
      <c r="G108" s="6"/>
      <c r="H108" s="6"/>
      <c r="I108" s="6"/>
      <c r="J108" s="6"/>
      <c r="K108" s="6"/>
      <c r="L108" s="6"/>
      <c r="M108" s="6"/>
      <c r="N108" s="6"/>
      <c r="O108" s="6"/>
    </row>
    <row r="109" spans="4:43" ht="17.25" hidden="1" customHeight="1" x14ac:dyDescent="0.15">
      <c r="D109" s="6"/>
      <c r="E109" s="6"/>
      <c r="F109" s="6"/>
      <c r="G109" s="6"/>
      <c r="H109" s="6"/>
      <c r="I109" s="6"/>
      <c r="J109" s="6"/>
      <c r="K109" s="6"/>
    </row>
    <row r="110" spans="4:43" ht="17.25" hidden="1" customHeight="1" x14ac:dyDescent="0.15">
      <c r="D110" s="6"/>
      <c r="E110" s="6"/>
      <c r="F110" s="6"/>
      <c r="G110" s="6"/>
    </row>
    <row r="111" spans="4:43" ht="17.25" hidden="1" customHeight="1" x14ac:dyDescent="0.15">
      <c r="D111" s="6">
        <v>2</v>
      </c>
      <c r="E111" s="6" t="s">
        <v>562</v>
      </c>
      <c r="F111" s="6" t="s">
        <v>43</v>
      </c>
      <c r="G111" s="6"/>
      <c r="H111" s="6"/>
      <c r="I111" s="6"/>
      <c r="J111" s="6"/>
      <c r="K111" s="6"/>
      <c r="L111" s="6"/>
      <c r="M111" s="6"/>
      <c r="N111" s="6"/>
      <c r="O111" s="6"/>
      <c r="P111" s="6"/>
      <c r="Q111" s="6"/>
      <c r="R111" s="6"/>
      <c r="S111" s="6"/>
      <c r="AC111" t="s">
        <v>563</v>
      </c>
      <c r="AD111" t="s">
        <v>564</v>
      </c>
      <c r="AE111" t="s">
        <v>565</v>
      </c>
      <c r="AF111" t="s">
        <v>566</v>
      </c>
      <c r="AH111" t="str">
        <f>IF($E$111=0,"",$E$111)</f>
        <v>Тариф на транспортировку сточных вод</v>
      </c>
      <c r="AI111" t="str">
        <f>IF($G$111=0,"",$G$111)</f>
        <v/>
      </c>
      <c r="AJ111" t="str">
        <f>IF($J$111=0,"",$J$111)</f>
        <v/>
      </c>
      <c r="AK111" t="str">
        <f>IF($K$111="нет","без дифференциации",IF($N$111=0,"",$N$111))</f>
        <v/>
      </c>
      <c r="AL111" t="str">
        <f>IF($O$111="нет","без дифференциации",IF($R$111=0,"",$R$111))</f>
        <v/>
      </c>
      <c r="AM111" t="str">
        <f>IF($S$111="нет","без дифференциации",IF($V$111=0,"",$V$111))</f>
        <v/>
      </c>
      <c r="AN111">
        <f>$I$111</f>
        <v>0</v>
      </c>
      <c r="AO111" t="str">
        <f>$I$111&amp;"."&amp;$M$111</f>
        <v>.</v>
      </c>
      <c r="AP111" t="str">
        <f>$I$111&amp;"."&amp;$M$111&amp;"."&amp;$Q$111</f>
        <v>..</v>
      </c>
      <c r="AQ111" t="str">
        <f>$I$111&amp;"."&amp;$M$111&amp;"."&amp;$Q$111&amp;"."&amp;$U$111</f>
        <v>...</v>
      </c>
    </row>
    <row r="112" spans="4:43" ht="17.25" hidden="1" customHeight="1" x14ac:dyDescent="0.15">
      <c r="D112" s="6"/>
      <c r="E112" s="6"/>
      <c r="F112" s="6"/>
      <c r="G112" s="6"/>
      <c r="H112" s="6"/>
      <c r="I112" s="6"/>
      <c r="J112" s="6"/>
      <c r="K112" s="6"/>
      <c r="L112" s="6"/>
      <c r="M112" s="6"/>
      <c r="N112" s="6"/>
      <c r="O112" s="6"/>
      <c r="P112" s="6"/>
      <c r="Q112" s="6"/>
      <c r="R112" s="6"/>
      <c r="S112" s="6"/>
    </row>
    <row r="113" spans="4:43" ht="17.25" hidden="1" customHeight="1" x14ac:dyDescent="0.15">
      <c r="D113" s="6"/>
      <c r="E113" s="6"/>
      <c r="F113" s="6"/>
      <c r="G113" s="6"/>
      <c r="H113" s="6"/>
      <c r="I113" s="6"/>
      <c r="J113" s="6"/>
      <c r="K113" s="6"/>
      <c r="L113" s="6"/>
      <c r="M113" s="6"/>
      <c r="N113" s="6"/>
      <c r="O113" s="6"/>
    </row>
    <row r="114" spans="4:43" ht="17.25" hidden="1" customHeight="1" x14ac:dyDescent="0.15">
      <c r="D114" s="6"/>
      <c r="E114" s="6"/>
      <c r="F114" s="6"/>
      <c r="G114" s="6"/>
      <c r="H114" s="6"/>
      <c r="I114" s="6"/>
      <c r="J114" s="6"/>
      <c r="K114" s="6"/>
    </row>
    <row r="115" spans="4:43" ht="17.25" hidden="1" customHeight="1" x14ac:dyDescent="0.15">
      <c r="D115" s="6"/>
      <c r="E115" s="6"/>
      <c r="F115" s="6"/>
      <c r="G115" s="6"/>
    </row>
    <row r="116" spans="4:43" ht="17.25" hidden="1" customHeight="1" x14ac:dyDescent="0.15">
      <c r="D116" s="6">
        <v>3</v>
      </c>
      <c r="E116" s="6" t="s">
        <v>567</v>
      </c>
      <c r="F116" s="6" t="s">
        <v>43</v>
      </c>
      <c r="G116" s="6"/>
      <c r="H116" s="6"/>
      <c r="I116" s="6"/>
      <c r="J116" s="6"/>
      <c r="K116" s="6"/>
      <c r="L116" s="6"/>
      <c r="M116" s="6"/>
      <c r="N116" s="6"/>
      <c r="O116" s="6"/>
      <c r="P116" s="6"/>
      <c r="Q116" s="6"/>
      <c r="R116" s="6"/>
      <c r="S116" s="6"/>
      <c r="AC116" t="s">
        <v>568</v>
      </c>
      <c r="AD116" t="s">
        <v>569</v>
      </c>
      <c r="AE116" t="s">
        <v>570</v>
      </c>
      <c r="AF116" t="s">
        <v>571</v>
      </c>
      <c r="AH116" t="str">
        <f>IF($E$116=0,"",$E$116)</f>
        <v>Тариф на подключение (технологическое присоединение) к централизованной системе водоотведения</v>
      </c>
      <c r="AI116" t="str">
        <f>IF($G$116=0,"",$G$116)</f>
        <v/>
      </c>
      <c r="AJ116" t="str">
        <f>IF($J$116=0,"",$J$116)</f>
        <v/>
      </c>
      <c r="AK116" t="str">
        <f>IF($K$116="нет","без дифференциации",IF($N$116=0,"",$N$116))</f>
        <v/>
      </c>
      <c r="AL116" t="str">
        <f>IF($O$116="нет","без дифференциации",IF($R$116=0,"",$R$116))</f>
        <v/>
      </c>
      <c r="AM116" t="str">
        <f>IF($S$116="нет","без дифференциации",IF($V$116=0,"",$V$116))</f>
        <v/>
      </c>
      <c r="AN116">
        <f>$I$116</f>
        <v>0</v>
      </c>
      <c r="AO116" t="str">
        <f>$I$116&amp;"."&amp;$M$116</f>
        <v>.</v>
      </c>
      <c r="AP116" t="str">
        <f>$I$116&amp;"."&amp;$M$116&amp;"."&amp;$Q$116</f>
        <v>..</v>
      </c>
      <c r="AQ116" t="str">
        <f>$I$116&amp;"."&amp;$M$116&amp;"."&amp;$Q$116&amp;"."&amp;$U$116</f>
        <v>...</v>
      </c>
    </row>
    <row r="117" spans="4:43" ht="17.25" hidden="1" customHeight="1" x14ac:dyDescent="0.15">
      <c r="D117" s="6"/>
      <c r="E117" s="6"/>
      <c r="F117" s="6"/>
      <c r="G117" s="6"/>
      <c r="H117" s="6"/>
      <c r="I117" s="6"/>
      <c r="J117" s="6"/>
      <c r="K117" s="6"/>
      <c r="L117" s="6"/>
      <c r="M117" s="6"/>
      <c r="N117" s="6"/>
      <c r="O117" s="6"/>
      <c r="P117" s="6"/>
      <c r="Q117" s="6"/>
      <c r="R117" s="6"/>
      <c r="S117" s="6"/>
    </row>
    <row r="118" spans="4:43" ht="17.25" hidden="1" customHeight="1" x14ac:dyDescent="0.15">
      <c r="D118" s="6"/>
      <c r="E118" s="6"/>
      <c r="F118" s="6"/>
      <c r="G118" s="6"/>
      <c r="H118" s="6"/>
      <c r="I118" s="6"/>
      <c r="J118" s="6"/>
      <c r="K118" s="6"/>
      <c r="L118" s="6"/>
      <c r="M118" s="6"/>
      <c r="N118" s="6"/>
      <c r="O118" s="6"/>
    </row>
    <row r="119" spans="4:43" ht="17.25" hidden="1" customHeight="1" x14ac:dyDescent="0.15">
      <c r="D119" s="6"/>
      <c r="E119" s="6"/>
      <c r="F119" s="6"/>
      <c r="G119" s="6"/>
      <c r="H119" s="6"/>
      <c r="I119" s="6"/>
      <c r="J119" s="6"/>
      <c r="K119" s="6"/>
    </row>
    <row r="120" spans="4:43" ht="17.25" hidden="1" customHeight="1" x14ac:dyDescent="0.15">
      <c r="D120" s="6"/>
      <c r="E120" s="6"/>
      <c r="F120" s="6"/>
      <c r="G120" s="6"/>
    </row>
    <row r="121" spans="4:43" ht="11.25" hidden="1" customHeight="1" x14ac:dyDescent="0.15"/>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40"/>
  <sheetViews>
    <sheetView showGridLines="0" topLeftCell="C3" zoomScale="90" workbookViewId="0"/>
  </sheetViews>
  <sheetFormatPr defaultColWidth="9.140625" defaultRowHeight="11.25" customHeight="1" x14ac:dyDescent="0.15"/>
  <cols>
    <col min="1" max="2" width="9.140625" hidden="1"/>
    <col min="3" max="4" width="3.7109375" customWidth="1"/>
    <col min="5" max="6" width="16" customWidth="1"/>
    <col min="7" max="7" width="11.5703125" customWidth="1"/>
    <col min="8" max="9" width="3.7109375" customWidth="1"/>
    <col min="10" max="10" width="13.140625" customWidth="1"/>
    <col min="11" max="11" width="0.28515625" customWidth="1"/>
    <col min="12" max="13" width="10.7109375" customWidth="1"/>
    <col min="14" max="15" width="3.7109375" customWidth="1"/>
    <col min="16" max="16" width="19.7109375" customWidth="1"/>
    <col min="17" max="17" width="0.28515625" customWidth="1"/>
    <col min="18" max="19" width="10.7109375" customWidth="1"/>
    <col min="20" max="21" width="3.7109375" customWidth="1"/>
    <col min="22" max="22" width="25.7109375" customWidth="1"/>
    <col min="23" max="23" width="0.28515625" customWidth="1"/>
    <col min="24" max="25" width="10.7109375" customWidth="1"/>
    <col min="26" max="27" width="3.7109375" customWidth="1"/>
    <col min="28" max="28" width="16.42578125" customWidth="1"/>
    <col min="29" max="29" width="0.28515625" customWidth="1"/>
    <col min="30" max="31" width="10.7109375" customWidth="1"/>
    <col min="32" max="33" width="3.7109375" customWidth="1"/>
    <col min="34" max="34" width="8.7109375" customWidth="1"/>
    <col min="35" max="35" width="21.7109375" customWidth="1"/>
  </cols>
  <sheetData>
    <row r="1" spans="4:38" ht="11.25" hidden="1" customHeight="1" x14ac:dyDescent="0.15"/>
    <row r="2" spans="4:38" ht="11.25" hidden="1" customHeight="1" x14ac:dyDescent="0.15">
      <c r="L2" t="s">
        <v>572</v>
      </c>
      <c r="M2" t="s">
        <v>573</v>
      </c>
      <c r="R2" t="s">
        <v>574</v>
      </c>
      <c r="S2" t="s">
        <v>573</v>
      </c>
      <c r="X2" t="s">
        <v>572</v>
      </c>
      <c r="Y2" t="s">
        <v>573</v>
      </c>
      <c r="AD2" t="s">
        <v>572</v>
      </c>
      <c r="AE2" t="s">
        <v>573</v>
      </c>
    </row>
    <row r="4" spans="4:38" ht="33" customHeight="1" x14ac:dyDescent="0.15">
      <c r="D4" s="6" t="s">
        <v>575</v>
      </c>
      <c r="E4" s="6"/>
      <c r="F4" s="6"/>
      <c r="G4" s="6"/>
      <c r="H4" s="6"/>
      <c r="I4" s="6"/>
      <c r="J4" s="6"/>
    </row>
    <row r="5" spans="4:38" ht="14.25" customHeight="1" x14ac:dyDescent="0.15">
      <c r="D5" s="6" t="str">
        <f>IF(org=0,"Не определено",org)</f>
        <v>КГУП "Примтеплоэнерго"</v>
      </c>
      <c r="E5" s="6"/>
      <c r="F5" s="6"/>
      <c r="G5" s="6"/>
      <c r="H5" s="6"/>
      <c r="I5" s="6"/>
      <c r="J5" s="6"/>
    </row>
    <row r="6" spans="4:38" ht="14.25" customHeight="1" x14ac:dyDescent="0.15"/>
    <row r="7" spans="4:38" ht="0.75" customHeight="1" x14ac:dyDescent="0.15"/>
    <row r="8" spans="4:38" ht="31.5" customHeight="1" x14ac:dyDescent="0.15">
      <c r="D8" s="6" t="s">
        <v>75</v>
      </c>
      <c r="E8" s="6" t="s">
        <v>355</v>
      </c>
      <c r="F8" s="6" t="s">
        <v>430</v>
      </c>
      <c r="G8" s="6"/>
      <c r="H8" s="6" t="s">
        <v>75</v>
      </c>
      <c r="I8" s="6"/>
      <c r="J8" s="6" t="s">
        <v>431</v>
      </c>
      <c r="L8" s="6" t="s">
        <v>576</v>
      </c>
      <c r="M8" s="6"/>
      <c r="N8" s="6"/>
      <c r="O8" s="6"/>
      <c r="P8" s="6"/>
      <c r="R8" s="6" t="s">
        <v>577</v>
      </c>
      <c r="S8" s="6"/>
      <c r="T8" s="6"/>
      <c r="U8" s="6"/>
      <c r="V8" s="6"/>
      <c r="X8" s="6" t="s">
        <v>578</v>
      </c>
      <c r="Y8" s="6"/>
      <c r="Z8" s="6"/>
      <c r="AA8" s="6"/>
      <c r="AB8" s="6"/>
      <c r="AD8" s="6" t="s">
        <v>579</v>
      </c>
      <c r="AE8" s="6"/>
      <c r="AF8" s="6"/>
      <c r="AG8" s="6"/>
      <c r="AH8" s="6"/>
      <c r="AI8" s="6" t="s">
        <v>580</v>
      </c>
    </row>
    <row r="9" spans="4:38" ht="22.5" customHeight="1" x14ac:dyDescent="0.15">
      <c r="D9" s="6"/>
      <c r="E9" s="6"/>
      <c r="F9" s="6" t="s">
        <v>76</v>
      </c>
      <c r="G9" s="6" t="s">
        <v>436</v>
      </c>
      <c r="H9" s="6"/>
      <c r="I9" s="6"/>
      <c r="J9" s="6"/>
      <c r="L9" s="6" t="s">
        <v>581</v>
      </c>
      <c r="M9" s="6"/>
      <c r="N9" s="6" t="s">
        <v>75</v>
      </c>
      <c r="O9" s="6"/>
      <c r="P9" s="6" t="s">
        <v>437</v>
      </c>
      <c r="R9" s="6" t="s">
        <v>581</v>
      </c>
      <c r="S9" s="6"/>
      <c r="T9" s="6" t="s">
        <v>75</v>
      </c>
      <c r="U9" s="6"/>
      <c r="V9" s="6" t="s">
        <v>437</v>
      </c>
      <c r="X9" s="6" t="s">
        <v>581</v>
      </c>
      <c r="Y9" s="6"/>
      <c r="Z9" s="6" t="s">
        <v>75</v>
      </c>
      <c r="AA9" s="6"/>
      <c r="AB9" s="6" t="s">
        <v>582</v>
      </c>
      <c r="AD9" s="6" t="s">
        <v>581</v>
      </c>
      <c r="AE9" s="6"/>
      <c r="AF9" s="6" t="s">
        <v>75</v>
      </c>
      <c r="AG9" s="6"/>
      <c r="AH9" s="6" t="s">
        <v>582</v>
      </c>
      <c r="AI9" s="6"/>
    </row>
    <row r="10" spans="4:38" ht="22.5" customHeight="1" x14ac:dyDescent="0.15">
      <c r="D10" s="6"/>
      <c r="E10" s="6"/>
      <c r="F10" s="6"/>
      <c r="G10" s="6"/>
      <c r="H10" s="6"/>
      <c r="I10" s="6"/>
      <c r="J10" s="6"/>
      <c r="L10" t="s">
        <v>583</v>
      </c>
      <c r="M10" t="s">
        <v>584</v>
      </c>
      <c r="N10" s="6"/>
      <c r="O10" s="6"/>
      <c r="P10" s="6"/>
      <c r="R10" t="s">
        <v>583</v>
      </c>
      <c r="S10" t="s">
        <v>584</v>
      </c>
      <c r="T10" s="6"/>
      <c r="U10" s="6"/>
      <c r="V10" s="6"/>
      <c r="X10" t="s">
        <v>583</v>
      </c>
      <c r="Y10" t="s">
        <v>584</v>
      </c>
      <c r="Z10" s="6"/>
      <c r="AA10" s="6"/>
      <c r="AB10" s="6"/>
      <c r="AD10" t="s">
        <v>583</v>
      </c>
      <c r="AE10" t="s">
        <v>584</v>
      </c>
      <c r="AF10" s="6"/>
      <c r="AG10" s="6"/>
      <c r="AH10" s="6"/>
      <c r="AI10" s="6"/>
      <c r="AK10" t="s">
        <v>585</v>
      </c>
      <c r="AL10" t="s">
        <v>438</v>
      </c>
    </row>
    <row r="11" spans="4:38" ht="14.25" customHeight="1" x14ac:dyDescent="0.15">
      <c r="D11" s="6" t="s">
        <v>165</v>
      </c>
      <c r="E11" s="6" t="s">
        <v>586</v>
      </c>
      <c r="F11" s="6" t="s">
        <v>587</v>
      </c>
      <c r="G11" s="6" t="s">
        <v>43</v>
      </c>
      <c r="I11" s="6"/>
      <c r="J11" s="6"/>
      <c r="L11" s="6"/>
      <c r="M11" s="6"/>
      <c r="O11" s="6"/>
      <c r="P11" s="6"/>
      <c r="R11" s="6"/>
      <c r="S11" s="6"/>
      <c r="U11" s="6"/>
      <c r="V11" s="6"/>
      <c r="X11" s="6"/>
      <c r="Y11" s="6"/>
      <c r="AA11" s="6"/>
      <c r="AB11" s="6"/>
      <c r="AD11" s="6"/>
      <c r="AE11" s="6"/>
    </row>
    <row r="12" spans="4:38" ht="14.25" customHeight="1" x14ac:dyDescent="0.15">
      <c r="D12" s="6"/>
      <c r="E12" s="6"/>
      <c r="F12" s="6"/>
      <c r="G12" s="6"/>
      <c r="I12" s="6"/>
      <c r="J12" s="6"/>
      <c r="L12" s="6"/>
      <c r="M12" s="6"/>
      <c r="O12" s="6"/>
      <c r="P12" s="6"/>
      <c r="R12" s="6"/>
      <c r="S12" s="6"/>
      <c r="U12" s="6"/>
      <c r="V12" s="6"/>
      <c r="X12" s="6"/>
      <c r="Y12" s="6"/>
      <c r="AA12" s="6"/>
      <c r="AB12" s="6"/>
      <c r="AD12" s="6"/>
      <c r="AE12" s="6"/>
      <c r="AH12" s="6"/>
      <c r="AI12" s="6"/>
    </row>
    <row r="13" spans="4:38" ht="14.25" customHeight="1" x14ac:dyDescent="0.15">
      <c r="D13" s="6"/>
      <c r="E13" s="6"/>
      <c r="F13" s="6"/>
      <c r="G13" s="6"/>
      <c r="I13" s="6"/>
      <c r="J13" s="6"/>
      <c r="L13" s="6"/>
      <c r="M13" s="6"/>
      <c r="O13" s="6"/>
      <c r="P13" s="6"/>
      <c r="R13" s="6"/>
      <c r="S13" s="6"/>
      <c r="U13" s="6"/>
      <c r="V13" s="6"/>
      <c r="X13" s="6"/>
      <c r="Y13" s="6"/>
      <c r="AB13" s="6"/>
      <c r="AC13" s="6"/>
      <c r="AD13" s="6"/>
      <c r="AE13" s="6"/>
      <c r="AF13" s="6"/>
      <c r="AG13" s="6"/>
      <c r="AH13" s="6"/>
      <c r="AI13" s="6"/>
    </row>
    <row r="14" spans="4:38" ht="14.25" customHeight="1" x14ac:dyDescent="0.15">
      <c r="D14" s="6"/>
      <c r="E14" s="6"/>
      <c r="F14" s="6"/>
      <c r="G14" s="6"/>
      <c r="I14" s="6"/>
      <c r="J14" s="6"/>
      <c r="L14" s="6"/>
      <c r="M14" s="6"/>
      <c r="O14" s="6"/>
      <c r="P14" s="6"/>
      <c r="R14" s="6"/>
      <c r="S14" s="6"/>
      <c r="V14" s="6"/>
      <c r="W14" s="6"/>
      <c r="X14" s="6"/>
      <c r="Y14" s="6"/>
      <c r="Z14" s="6"/>
      <c r="AA14" s="6"/>
      <c r="AB14" s="6"/>
      <c r="AC14" s="6"/>
      <c r="AD14" s="6"/>
      <c r="AE14" s="6"/>
      <c r="AF14" s="6"/>
      <c r="AG14" s="6"/>
      <c r="AH14" s="6"/>
      <c r="AI14" s="6"/>
    </row>
    <row r="15" spans="4:38" ht="11.25" customHeight="1" x14ac:dyDescent="0.15">
      <c r="D15" s="6"/>
      <c r="E15" s="6"/>
      <c r="F15" s="6"/>
      <c r="G15" s="6"/>
      <c r="I15" s="6"/>
      <c r="J15" s="6"/>
      <c r="L15" s="6"/>
      <c r="M15" s="6"/>
      <c r="P15" s="6"/>
      <c r="Q15" s="6"/>
      <c r="R15" s="6"/>
      <c r="S15" s="6"/>
      <c r="T15" s="6"/>
      <c r="U15" s="6"/>
      <c r="V15" s="6"/>
      <c r="W15" s="6"/>
      <c r="X15" s="6"/>
      <c r="Y15" s="6"/>
      <c r="Z15" s="6"/>
      <c r="AA15" s="6"/>
      <c r="AB15" s="6"/>
      <c r="AC15" s="6"/>
      <c r="AD15" s="6"/>
      <c r="AE15" s="6"/>
      <c r="AF15" s="6"/>
      <c r="AG15" s="6"/>
      <c r="AH15" s="6"/>
      <c r="AI15" s="6"/>
    </row>
    <row r="16" spans="4:38" ht="11.25" customHeight="1" x14ac:dyDescent="0.15">
      <c r="D16" s="6"/>
      <c r="E16" s="6"/>
      <c r="F16" s="6"/>
      <c r="G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4:37" ht="14.25" customHeight="1" x14ac:dyDescent="0.15">
      <c r="D17" s="6" t="s">
        <v>89</v>
      </c>
      <c r="E17" s="6" t="s">
        <v>586</v>
      </c>
      <c r="F17" s="6" t="s">
        <v>588</v>
      </c>
      <c r="G17" s="6" t="s">
        <v>43</v>
      </c>
      <c r="I17" s="6"/>
      <c r="J17" s="6"/>
      <c r="L17" s="6"/>
      <c r="M17" s="6"/>
      <c r="O17" s="6"/>
      <c r="P17" s="6"/>
      <c r="R17" s="6"/>
      <c r="S17" s="6"/>
      <c r="U17" s="6"/>
      <c r="V17" s="6"/>
      <c r="X17" s="6"/>
      <c r="Y17" s="6"/>
      <c r="AA17" s="6"/>
      <c r="AB17" s="6"/>
      <c r="AD17" s="6"/>
      <c r="AE17" s="6"/>
    </row>
    <row r="18" spans="4:37" ht="14.25" customHeight="1" x14ac:dyDescent="0.15">
      <c r="D18" s="6"/>
      <c r="E18" s="6"/>
      <c r="F18" s="6"/>
      <c r="G18" s="6"/>
      <c r="I18" s="6"/>
      <c r="J18" s="6"/>
      <c r="L18" s="6"/>
      <c r="M18" s="6"/>
      <c r="O18" s="6"/>
      <c r="P18" s="6"/>
      <c r="R18" s="6"/>
      <c r="S18" s="6"/>
      <c r="U18" s="6"/>
      <c r="V18" s="6"/>
      <c r="X18" s="6"/>
      <c r="Y18" s="6"/>
      <c r="AA18" s="6"/>
      <c r="AB18" s="6"/>
      <c r="AD18" s="6"/>
      <c r="AE18" s="6"/>
      <c r="AH18" s="6"/>
      <c r="AI18" s="6"/>
    </row>
    <row r="19" spans="4:37" ht="14.25" customHeight="1" x14ac:dyDescent="0.15">
      <c r="D19" s="6"/>
      <c r="E19" s="6"/>
      <c r="F19" s="6"/>
      <c r="G19" s="6"/>
      <c r="I19" s="6"/>
      <c r="J19" s="6"/>
      <c r="L19" s="6"/>
      <c r="M19" s="6"/>
      <c r="O19" s="6"/>
      <c r="P19" s="6"/>
      <c r="R19" s="6"/>
      <c r="S19" s="6"/>
      <c r="U19" s="6"/>
      <c r="V19" s="6"/>
      <c r="X19" s="6"/>
      <c r="Y19" s="6"/>
      <c r="AB19" s="6"/>
      <c r="AC19" s="6"/>
      <c r="AD19" s="6"/>
      <c r="AE19" s="6"/>
      <c r="AF19" s="6"/>
      <c r="AG19" s="6"/>
      <c r="AH19" s="6"/>
      <c r="AI19" s="6"/>
    </row>
    <row r="20" spans="4:37" ht="14.25" customHeight="1" x14ac:dyDescent="0.15">
      <c r="D20" s="6"/>
      <c r="E20" s="6"/>
      <c r="F20" s="6"/>
      <c r="G20" s="6"/>
      <c r="I20" s="6"/>
      <c r="J20" s="6"/>
      <c r="L20" s="6"/>
      <c r="M20" s="6"/>
      <c r="O20" s="6"/>
      <c r="P20" s="6"/>
      <c r="R20" s="6"/>
      <c r="S20" s="6"/>
      <c r="V20" s="6"/>
      <c r="W20" s="6"/>
      <c r="X20" s="6"/>
      <c r="Y20" s="6"/>
      <c r="Z20" s="6"/>
      <c r="AA20" s="6"/>
      <c r="AB20" s="6"/>
      <c r="AC20" s="6"/>
      <c r="AD20" s="6"/>
      <c r="AE20" s="6"/>
      <c r="AF20" s="6"/>
      <c r="AG20" s="6"/>
      <c r="AH20" s="6"/>
      <c r="AI20" s="6"/>
    </row>
    <row r="21" spans="4:37" ht="11.25" customHeight="1" x14ac:dyDescent="0.15">
      <c r="D21" s="6"/>
      <c r="E21" s="6"/>
      <c r="F21" s="6"/>
      <c r="G21" s="6"/>
      <c r="I21" s="6"/>
      <c r="J21" s="6"/>
      <c r="L21" s="6"/>
      <c r="M21" s="6"/>
      <c r="P21" s="6"/>
      <c r="Q21" s="6"/>
      <c r="R21" s="6"/>
      <c r="S21" s="6"/>
      <c r="T21" s="6"/>
      <c r="U21" s="6"/>
      <c r="V21" s="6"/>
      <c r="W21" s="6"/>
      <c r="X21" s="6"/>
      <c r="Y21" s="6"/>
      <c r="Z21" s="6"/>
      <c r="AA21" s="6"/>
      <c r="AB21" s="6"/>
      <c r="AC21" s="6"/>
      <c r="AD21" s="6"/>
      <c r="AE21" s="6"/>
      <c r="AF21" s="6"/>
      <c r="AG21" s="6"/>
      <c r="AH21" s="6"/>
      <c r="AI21" s="6"/>
    </row>
    <row r="22" spans="4:37" ht="11.25" customHeight="1" x14ac:dyDescent="0.15">
      <c r="D22" s="6"/>
      <c r="E22" s="6"/>
      <c r="F22" s="6"/>
      <c r="G22" s="6"/>
      <c r="J22" s="6"/>
      <c r="K22" s="6"/>
      <c r="L22" s="6"/>
      <c r="M22" s="6"/>
      <c r="N22" s="6"/>
      <c r="O22" s="6"/>
      <c r="P22" s="6"/>
      <c r="Q22" s="6"/>
      <c r="R22" s="6"/>
      <c r="S22" s="6"/>
      <c r="T22" s="6"/>
      <c r="U22" s="6"/>
      <c r="V22" s="6"/>
      <c r="W22" s="6"/>
      <c r="X22" s="6"/>
      <c r="Y22" s="6"/>
      <c r="Z22" s="6"/>
      <c r="AA22" s="6"/>
      <c r="AB22" s="6"/>
      <c r="AC22" s="6"/>
      <c r="AD22" s="6"/>
      <c r="AE22" s="6"/>
      <c r="AF22" s="6"/>
      <c r="AG22" s="6"/>
      <c r="AH22" s="6"/>
      <c r="AI22" s="6"/>
    </row>
    <row r="23" spans="4:37" ht="14.25" customHeight="1" x14ac:dyDescent="0.15">
      <c r="D23" s="6" t="s">
        <v>77</v>
      </c>
      <c r="E23" s="6" t="s">
        <v>586</v>
      </c>
      <c r="F23" s="6" t="s">
        <v>589</v>
      </c>
      <c r="G23" s="6" t="s">
        <v>43</v>
      </c>
      <c r="I23" s="6"/>
      <c r="J23" s="6"/>
      <c r="L23" s="6"/>
      <c r="M23" s="6"/>
      <c r="O23" s="6"/>
      <c r="P23" s="6"/>
      <c r="R23" s="6"/>
      <c r="S23" s="6"/>
      <c r="U23" s="6"/>
      <c r="V23" s="6"/>
      <c r="X23" s="6"/>
      <c r="Y23" s="6"/>
      <c r="AA23" s="6"/>
      <c r="AB23" s="6"/>
      <c r="AD23" s="6"/>
      <c r="AE23" s="6"/>
      <c r="AK23" t="s">
        <v>85</v>
      </c>
    </row>
    <row r="24" spans="4:37" ht="14.25" customHeight="1" x14ac:dyDescent="0.15">
      <c r="D24" s="6"/>
      <c r="E24" s="6"/>
      <c r="F24" s="6"/>
      <c r="G24" s="6"/>
      <c r="I24" s="6"/>
      <c r="J24" s="6"/>
      <c r="L24" s="6"/>
      <c r="M24" s="6"/>
      <c r="O24" s="6"/>
      <c r="P24" s="6"/>
      <c r="R24" s="6"/>
      <c r="S24" s="6"/>
      <c r="U24" s="6"/>
      <c r="V24" s="6"/>
      <c r="X24" s="6"/>
      <c r="Y24" s="6"/>
      <c r="AA24" s="6"/>
      <c r="AB24" s="6"/>
      <c r="AD24" s="6"/>
      <c r="AE24" s="6"/>
      <c r="AH24" s="6"/>
      <c r="AI24" s="6"/>
    </row>
    <row r="25" spans="4:37" ht="14.25" customHeight="1" x14ac:dyDescent="0.15">
      <c r="D25" s="6"/>
      <c r="E25" s="6"/>
      <c r="F25" s="6"/>
      <c r="G25" s="6"/>
      <c r="I25" s="6"/>
      <c r="J25" s="6"/>
      <c r="L25" s="6"/>
      <c r="M25" s="6"/>
      <c r="O25" s="6"/>
      <c r="P25" s="6"/>
      <c r="R25" s="6"/>
      <c r="S25" s="6"/>
      <c r="U25" s="6"/>
      <c r="V25" s="6"/>
      <c r="X25" s="6"/>
      <c r="Y25" s="6"/>
      <c r="AB25" s="6"/>
      <c r="AC25" s="6"/>
      <c r="AD25" s="6"/>
      <c r="AE25" s="6"/>
      <c r="AF25" s="6"/>
      <c r="AG25" s="6"/>
      <c r="AH25" s="6"/>
      <c r="AI25" s="6"/>
    </row>
    <row r="26" spans="4:37" ht="14.25" customHeight="1" x14ac:dyDescent="0.15">
      <c r="D26" s="6"/>
      <c r="E26" s="6"/>
      <c r="F26" s="6"/>
      <c r="G26" s="6"/>
      <c r="I26" s="6"/>
      <c r="J26" s="6"/>
      <c r="L26" s="6"/>
      <c r="M26" s="6"/>
      <c r="O26" s="6"/>
      <c r="P26" s="6"/>
      <c r="R26" s="6"/>
      <c r="S26" s="6"/>
      <c r="V26" s="6"/>
      <c r="W26" s="6"/>
      <c r="X26" s="6"/>
      <c r="Y26" s="6"/>
      <c r="Z26" s="6"/>
      <c r="AA26" s="6"/>
      <c r="AB26" s="6"/>
      <c r="AC26" s="6"/>
      <c r="AD26" s="6"/>
      <c r="AE26" s="6"/>
      <c r="AF26" s="6"/>
      <c r="AG26" s="6"/>
      <c r="AH26" s="6"/>
      <c r="AI26" s="6"/>
    </row>
    <row r="27" spans="4:37" ht="11.25" customHeight="1" x14ac:dyDescent="0.15">
      <c r="D27" s="6"/>
      <c r="E27" s="6"/>
      <c r="F27" s="6"/>
      <c r="G27" s="6"/>
      <c r="I27" s="6"/>
      <c r="J27" s="6"/>
      <c r="L27" s="6"/>
      <c r="M27" s="6"/>
      <c r="P27" s="6"/>
      <c r="Q27" s="6"/>
      <c r="R27" s="6"/>
      <c r="S27" s="6"/>
      <c r="T27" s="6"/>
      <c r="U27" s="6"/>
      <c r="V27" s="6"/>
      <c r="W27" s="6"/>
      <c r="X27" s="6"/>
      <c r="Y27" s="6"/>
      <c r="Z27" s="6"/>
      <c r="AA27" s="6"/>
      <c r="AB27" s="6"/>
      <c r="AC27" s="6"/>
      <c r="AD27" s="6"/>
      <c r="AE27" s="6"/>
      <c r="AF27" s="6"/>
      <c r="AG27" s="6"/>
      <c r="AH27" s="6"/>
      <c r="AI27" s="6"/>
    </row>
    <row r="28" spans="4:37" ht="11.25" customHeight="1" x14ac:dyDescent="0.15">
      <c r="D28" s="6"/>
      <c r="E28" s="6"/>
      <c r="F28" s="6"/>
      <c r="G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4:37" ht="14.25" customHeight="1" x14ac:dyDescent="0.15">
      <c r="D29" s="6" t="s">
        <v>78</v>
      </c>
      <c r="E29" s="6" t="s">
        <v>586</v>
      </c>
      <c r="F29" s="6" t="s">
        <v>590</v>
      </c>
      <c r="G29" s="6" t="s">
        <v>43</v>
      </c>
      <c r="I29" s="6"/>
      <c r="J29" s="6"/>
      <c r="L29" s="6"/>
      <c r="M29" s="6"/>
      <c r="O29" s="6"/>
      <c r="P29" s="6"/>
      <c r="R29" s="6"/>
      <c r="S29" s="6"/>
      <c r="U29" s="6"/>
      <c r="V29" s="6"/>
      <c r="X29" s="6"/>
      <c r="Y29" s="6"/>
      <c r="AA29" s="6"/>
      <c r="AB29" s="6"/>
      <c r="AD29" s="6"/>
      <c r="AE29" s="6"/>
    </row>
    <row r="30" spans="4:37" ht="14.25" customHeight="1" x14ac:dyDescent="0.15">
      <c r="D30" s="6"/>
      <c r="E30" s="6"/>
      <c r="F30" s="6"/>
      <c r="G30" s="6"/>
      <c r="I30" s="6"/>
      <c r="J30" s="6"/>
      <c r="L30" s="6"/>
      <c r="M30" s="6"/>
      <c r="O30" s="6"/>
      <c r="P30" s="6"/>
      <c r="R30" s="6"/>
      <c r="S30" s="6"/>
      <c r="U30" s="6"/>
      <c r="V30" s="6"/>
      <c r="X30" s="6"/>
      <c r="Y30" s="6"/>
      <c r="AA30" s="6"/>
      <c r="AB30" s="6"/>
      <c r="AD30" s="6"/>
      <c r="AE30" s="6"/>
      <c r="AH30" s="6"/>
      <c r="AI30" s="6"/>
    </row>
    <row r="31" spans="4:37" ht="14.25" customHeight="1" x14ac:dyDescent="0.15">
      <c r="D31" s="6"/>
      <c r="E31" s="6"/>
      <c r="F31" s="6"/>
      <c r="G31" s="6"/>
      <c r="I31" s="6"/>
      <c r="J31" s="6"/>
      <c r="L31" s="6"/>
      <c r="M31" s="6"/>
      <c r="O31" s="6"/>
      <c r="P31" s="6"/>
      <c r="R31" s="6"/>
      <c r="S31" s="6"/>
      <c r="U31" s="6"/>
      <c r="V31" s="6"/>
      <c r="X31" s="6"/>
      <c r="Y31" s="6"/>
      <c r="AB31" s="6"/>
      <c r="AC31" s="6"/>
      <c r="AD31" s="6"/>
      <c r="AE31" s="6"/>
      <c r="AF31" s="6"/>
      <c r="AG31" s="6"/>
      <c r="AH31" s="6"/>
      <c r="AI31" s="6"/>
    </row>
    <row r="32" spans="4:37" ht="14.25" customHeight="1" x14ac:dyDescent="0.15">
      <c r="D32" s="6"/>
      <c r="E32" s="6"/>
      <c r="F32" s="6"/>
      <c r="G32" s="6"/>
      <c r="I32" s="6"/>
      <c r="J32" s="6"/>
      <c r="L32" s="6"/>
      <c r="M32" s="6"/>
      <c r="O32" s="6"/>
      <c r="P32" s="6"/>
      <c r="R32" s="6"/>
      <c r="S32" s="6"/>
      <c r="V32" s="6"/>
      <c r="W32" s="6"/>
      <c r="X32" s="6"/>
      <c r="Y32" s="6"/>
      <c r="Z32" s="6"/>
      <c r="AA32" s="6"/>
      <c r="AB32" s="6"/>
      <c r="AC32" s="6"/>
      <c r="AD32" s="6"/>
      <c r="AE32" s="6"/>
      <c r="AF32" s="6"/>
      <c r="AG32" s="6"/>
      <c r="AH32" s="6"/>
      <c r="AI32" s="6"/>
    </row>
    <row r="33" spans="4:35" ht="11.25" customHeight="1" x14ac:dyDescent="0.15">
      <c r="D33" s="6"/>
      <c r="E33" s="6"/>
      <c r="F33" s="6"/>
      <c r="G33" s="6"/>
      <c r="I33" s="6"/>
      <c r="J33" s="6"/>
      <c r="L33" s="6"/>
      <c r="M33" s="6"/>
      <c r="P33" s="6"/>
      <c r="Q33" s="6"/>
      <c r="R33" s="6"/>
      <c r="S33" s="6"/>
      <c r="T33" s="6"/>
      <c r="U33" s="6"/>
      <c r="V33" s="6"/>
      <c r="W33" s="6"/>
      <c r="X33" s="6"/>
      <c r="Y33" s="6"/>
      <c r="Z33" s="6"/>
      <c r="AA33" s="6"/>
      <c r="AB33" s="6"/>
      <c r="AC33" s="6"/>
      <c r="AD33" s="6"/>
      <c r="AE33" s="6"/>
      <c r="AF33" s="6"/>
      <c r="AG33" s="6"/>
      <c r="AH33" s="6"/>
      <c r="AI33" s="6"/>
    </row>
    <row r="34" spans="4:35" ht="11.25" customHeight="1" x14ac:dyDescent="0.15">
      <c r="D34" s="6"/>
      <c r="E34" s="6"/>
      <c r="F34" s="6"/>
      <c r="G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4:35" ht="14.25" customHeight="1" x14ac:dyDescent="0.15">
      <c r="D35" s="6" t="s">
        <v>100</v>
      </c>
      <c r="E35" s="6" t="s">
        <v>586</v>
      </c>
      <c r="F35" s="6" t="s">
        <v>591</v>
      </c>
      <c r="G35" s="6" t="s">
        <v>43</v>
      </c>
      <c r="I35" s="6"/>
      <c r="J35" s="6"/>
      <c r="L35" s="6"/>
      <c r="M35" s="6"/>
      <c r="O35" s="6"/>
      <c r="P35" s="6"/>
      <c r="R35" s="6"/>
      <c r="S35" s="6"/>
      <c r="U35" s="6"/>
      <c r="V35" s="6"/>
      <c r="X35" s="6"/>
      <c r="Y35" s="6"/>
      <c r="AA35" s="6"/>
      <c r="AB35" s="6"/>
      <c r="AD35" s="6"/>
      <c r="AE35" s="6"/>
    </row>
    <row r="36" spans="4:35" ht="14.25" customHeight="1" x14ac:dyDescent="0.15">
      <c r="D36" s="6"/>
      <c r="E36" s="6"/>
      <c r="F36" s="6"/>
      <c r="G36" s="6"/>
      <c r="I36" s="6"/>
      <c r="J36" s="6"/>
      <c r="L36" s="6"/>
      <c r="M36" s="6"/>
      <c r="O36" s="6"/>
      <c r="P36" s="6"/>
      <c r="R36" s="6"/>
      <c r="S36" s="6"/>
      <c r="U36" s="6"/>
      <c r="V36" s="6"/>
      <c r="X36" s="6"/>
      <c r="Y36" s="6"/>
      <c r="AA36" s="6"/>
      <c r="AB36" s="6"/>
      <c r="AD36" s="6"/>
      <c r="AE36" s="6"/>
      <c r="AH36" s="6"/>
      <c r="AI36" s="6"/>
    </row>
    <row r="37" spans="4:35" ht="14.25" customHeight="1" x14ac:dyDescent="0.15">
      <c r="D37" s="6"/>
      <c r="E37" s="6"/>
      <c r="F37" s="6"/>
      <c r="G37" s="6"/>
      <c r="I37" s="6"/>
      <c r="J37" s="6"/>
      <c r="L37" s="6"/>
      <c r="M37" s="6"/>
      <c r="O37" s="6"/>
      <c r="P37" s="6"/>
      <c r="R37" s="6"/>
      <c r="S37" s="6"/>
      <c r="U37" s="6"/>
      <c r="V37" s="6"/>
      <c r="X37" s="6"/>
      <c r="Y37" s="6"/>
      <c r="AB37" s="6"/>
      <c r="AC37" s="6"/>
      <c r="AD37" s="6"/>
      <c r="AE37" s="6"/>
      <c r="AF37" s="6"/>
      <c r="AG37" s="6"/>
      <c r="AH37" s="6"/>
      <c r="AI37" s="6"/>
    </row>
    <row r="38" spans="4:35" ht="14.25" customHeight="1" x14ac:dyDescent="0.15">
      <c r="D38" s="6"/>
      <c r="E38" s="6"/>
      <c r="F38" s="6"/>
      <c r="G38" s="6"/>
      <c r="I38" s="6"/>
      <c r="J38" s="6"/>
      <c r="L38" s="6"/>
      <c r="M38" s="6"/>
      <c r="O38" s="6"/>
      <c r="P38" s="6"/>
      <c r="R38" s="6"/>
      <c r="S38" s="6"/>
      <c r="V38" s="6"/>
      <c r="W38" s="6"/>
      <c r="X38" s="6"/>
      <c r="Y38" s="6"/>
      <c r="Z38" s="6"/>
      <c r="AA38" s="6"/>
      <c r="AB38" s="6"/>
      <c r="AC38" s="6"/>
      <c r="AD38" s="6"/>
      <c r="AE38" s="6"/>
      <c r="AF38" s="6"/>
      <c r="AG38" s="6"/>
      <c r="AH38" s="6"/>
      <c r="AI38" s="6"/>
    </row>
    <row r="39" spans="4:35" ht="11.25" customHeight="1" x14ac:dyDescent="0.15">
      <c r="D39" s="6"/>
      <c r="E39" s="6"/>
      <c r="F39" s="6"/>
      <c r="G39" s="6"/>
      <c r="I39" s="6"/>
      <c r="J39" s="6"/>
      <c r="L39" s="6"/>
      <c r="M39" s="6"/>
      <c r="P39" s="6"/>
      <c r="Q39" s="6"/>
      <c r="R39" s="6"/>
      <c r="S39" s="6"/>
      <c r="T39" s="6"/>
      <c r="U39" s="6"/>
      <c r="V39" s="6"/>
      <c r="W39" s="6"/>
      <c r="X39" s="6"/>
      <c r="Y39" s="6"/>
      <c r="Z39" s="6"/>
      <c r="AA39" s="6"/>
      <c r="AB39" s="6"/>
      <c r="AC39" s="6"/>
      <c r="AD39" s="6"/>
      <c r="AE39" s="6"/>
      <c r="AF39" s="6"/>
      <c r="AG39" s="6"/>
      <c r="AH39" s="6"/>
      <c r="AI39" s="6"/>
    </row>
    <row r="40" spans="4:35" ht="11.25" customHeight="1" x14ac:dyDescent="0.15">
      <c r="D40" s="6"/>
      <c r="E40" s="6"/>
      <c r="F40" s="6"/>
      <c r="G40" s="6"/>
      <c r="J40" s="6"/>
      <c r="K40" s="6"/>
      <c r="L40" s="6"/>
      <c r="M40" s="6"/>
      <c r="N40" s="6"/>
      <c r="O40" s="6"/>
      <c r="P40" s="6"/>
      <c r="Q40" s="6"/>
      <c r="R40" s="6"/>
      <c r="S40" s="6"/>
      <c r="T40" s="6"/>
      <c r="U40" s="6"/>
      <c r="V40" s="6"/>
      <c r="W40" s="6"/>
      <c r="X40" s="6"/>
      <c r="Y40" s="6"/>
      <c r="Z40" s="6"/>
      <c r="AA40" s="6"/>
      <c r="AB40" s="6"/>
      <c r="AC40" s="6"/>
      <c r="AD40" s="6"/>
      <c r="AE40" s="6"/>
      <c r="AF40" s="6"/>
      <c r="AG40" s="6"/>
      <c r="AH40" s="6"/>
      <c r="AI40" s="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8"/>
  <sheetViews>
    <sheetView showGridLines="0" topLeftCell="C3" zoomScale="90" workbookViewId="0"/>
  </sheetViews>
  <sheetFormatPr defaultColWidth="9.140625" defaultRowHeight="11.25" customHeight="1" x14ac:dyDescent="0.15"/>
  <cols>
    <col min="1" max="2" width="15" hidden="1" customWidth="1"/>
    <col min="3" max="3" width="3.7109375" customWidth="1"/>
    <col min="4" max="4" width="6.85546875" customWidth="1"/>
    <col min="5" max="5" width="52.28515625" customWidth="1"/>
    <col min="6" max="6" width="48.85546875" customWidth="1"/>
    <col min="7" max="7" width="121.7109375" customWidth="1"/>
    <col min="9" max="9" width="65" customWidth="1"/>
  </cols>
  <sheetData>
    <row r="1" spans="1:7" ht="11.25" hidden="1" customHeight="1" x14ac:dyDescent="0.15">
      <c r="A1" t="s">
        <v>592</v>
      </c>
    </row>
    <row r="2" spans="1:7" ht="11.25" hidden="1" customHeight="1" x14ac:dyDescent="0.15"/>
    <row r="4" spans="1:7" ht="36.75" customHeight="1" x14ac:dyDescent="0.15">
      <c r="D4" s="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6"/>
      <c r="F4" s="6"/>
    </row>
    <row r="5" spans="1:7" ht="17.25" customHeight="1" x14ac:dyDescent="0.15">
      <c r="D5" s="6" t="str">
        <f>IF(org=0,"Не определено",org)</f>
        <v>КГУП "Примтеплоэнерго"</v>
      </c>
      <c r="E5" s="6"/>
      <c r="F5" s="6"/>
    </row>
    <row r="7" spans="1:7" ht="11.25" hidden="1" customHeight="1" x14ac:dyDescent="0.15">
      <c r="E7" s="6"/>
      <c r="F7" s="6"/>
    </row>
    <row r="8" spans="1:7" ht="11.25" customHeight="1" x14ac:dyDescent="0.15">
      <c r="D8" s="6" t="s">
        <v>593</v>
      </c>
      <c r="E8" s="6"/>
      <c r="F8" s="6"/>
      <c r="G8" s="6" t="s">
        <v>594</v>
      </c>
    </row>
    <row r="9" spans="1:7" ht="11.25" customHeight="1" x14ac:dyDescent="0.15">
      <c r="D9" t="s">
        <v>75</v>
      </c>
      <c r="E9" t="s">
        <v>595</v>
      </c>
      <c r="F9" t="s">
        <v>596</v>
      </c>
      <c r="G9" s="6"/>
    </row>
    <row r="10" spans="1:7" ht="12" hidden="1" customHeight="1" x14ac:dyDescent="0.15"/>
    <row r="11" spans="1:7" ht="22.5" hidden="1" customHeight="1" x14ac:dyDescent="0.15">
      <c r="D11" t="s">
        <v>165</v>
      </c>
      <c r="E11" t="s">
        <v>597</v>
      </c>
      <c r="F11" t="str">
        <f>IF(region_name="","",region_name)</f>
        <v>Приморский край</v>
      </c>
      <c r="G11" t="s">
        <v>598</v>
      </c>
    </row>
    <row r="12" spans="1:7" ht="22.5" hidden="1" customHeight="1" x14ac:dyDescent="0.15">
      <c r="D12" t="s">
        <v>165</v>
      </c>
      <c r="E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t="s">
        <v>599</v>
      </c>
    </row>
    <row r="13" spans="1:7" ht="22.5" customHeight="1" x14ac:dyDescent="0.15">
      <c r="D13" t="s">
        <v>165</v>
      </c>
      <c r="E13" t="str">
        <f>"Наименование юридического лица"&amp;IF(TEMPLATE_SPHERE="TKO"," (индивидуального предпринимателя)","")</f>
        <v>Наименование юридического лица</v>
      </c>
      <c r="G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row>
    <row r="14" spans="1:7" ht="22.5" hidden="1" customHeight="1" x14ac:dyDescent="0.15">
      <c r="D14" t="s">
        <v>600</v>
      </c>
      <c r="E14" t="s">
        <v>601</v>
      </c>
      <c r="F14" t="str">
        <f>IF(inn="","",inn)</f>
        <v>2536112729</v>
      </c>
      <c r="G14" t="s">
        <v>602</v>
      </c>
    </row>
    <row r="15" spans="1:7" ht="22.5" hidden="1" customHeight="1" x14ac:dyDescent="0.15">
      <c r="D15" t="s">
        <v>603</v>
      </c>
      <c r="E15" t="s">
        <v>604</v>
      </c>
      <c r="F15" t="str">
        <f>IF(kpp="","",kpp)</f>
        <v>253801001</v>
      </c>
      <c r="G15" t="s">
        <v>605</v>
      </c>
    </row>
    <row r="16" spans="1:7" ht="36.75" customHeight="1" x14ac:dyDescent="0.15">
      <c r="D16" t="s">
        <v>89</v>
      </c>
      <c r="E1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G1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row>
    <row r="17" spans="1:7" ht="22.5" customHeight="1" x14ac:dyDescent="0.15">
      <c r="D17" t="s">
        <v>77</v>
      </c>
      <c r="E17" t="str">
        <f>"Дата присвоения ОГРН"&amp;IF(TEMPLATE_SPHERE="TKO",""," (ОГРНИП)")</f>
        <v>Дата присвоения ОГРН (ОГРНИП)</v>
      </c>
      <c r="F17" t="s">
        <v>4</v>
      </c>
      <c r="G17" t="str">
        <f>"Дата присвоения ОГРН"&amp;IF(TEMPLATE_SPHERE="TKO",""," (ОГРНИП)")&amp;" указывается в виде «ДД.ММ.ГГГГ»."</f>
        <v>Дата присвоения ОГРН (ОГРНИП) указывается в виде «ДД.ММ.ГГГГ».</v>
      </c>
    </row>
    <row r="18" spans="1:7" ht="56.25" customHeight="1" x14ac:dyDescent="0.15">
      <c r="D18" t="s">
        <v>78</v>
      </c>
      <c r="E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row>
    <row r="19" spans="1:7" ht="22.5" hidden="1" customHeight="1" x14ac:dyDescent="0.15">
      <c r="A19" s="6">
        <v>1</v>
      </c>
      <c r="C19" s="6"/>
      <c r="D19">
        <v>5</v>
      </c>
      <c r="E19" t="s">
        <v>606</v>
      </c>
      <c r="F19" t="s">
        <v>599</v>
      </c>
      <c r="G19" t="s">
        <v>607</v>
      </c>
    </row>
    <row r="20" spans="1:7" ht="33.75" hidden="1" customHeight="1" x14ac:dyDescent="0.15">
      <c r="A20" s="6"/>
      <c r="C20" s="6"/>
      <c r="D20" t="s">
        <v>608</v>
      </c>
      <c r="E20" t="s">
        <v>609</v>
      </c>
      <c r="F20" t="s">
        <v>4</v>
      </c>
    </row>
    <row r="21" spans="1:7" ht="22.5" hidden="1" customHeight="1" x14ac:dyDescent="0.15">
      <c r="A21" s="6"/>
      <c r="C21" s="6"/>
      <c r="D21" t="s">
        <v>610</v>
      </c>
      <c r="E21" t="s">
        <v>611</v>
      </c>
      <c r="F21" t="s">
        <v>4</v>
      </c>
      <c r="G21" t="s">
        <v>612</v>
      </c>
    </row>
    <row r="22" spans="1:7" ht="22.5" hidden="1" customHeight="1" x14ac:dyDescent="0.15">
      <c r="A22" s="6"/>
      <c r="C22" s="6"/>
      <c r="D22" t="s">
        <v>613</v>
      </c>
      <c r="E22" t="s">
        <v>614</v>
      </c>
      <c r="F22" t="s">
        <v>4</v>
      </c>
    </row>
    <row r="23" spans="1:7" ht="22.5" hidden="1" customHeight="1" x14ac:dyDescent="0.15">
      <c r="A23" s="6"/>
      <c r="C23" s="6"/>
      <c r="D23" t="s">
        <v>615</v>
      </c>
      <c r="E23" t="s">
        <v>616</v>
      </c>
      <c r="F23" t="s">
        <v>4</v>
      </c>
      <c r="G23" t="s">
        <v>617</v>
      </c>
    </row>
    <row r="24" spans="1:7" ht="24.75" hidden="1" customHeight="1" x14ac:dyDescent="0.15">
      <c r="D24" t="s">
        <v>77</v>
      </c>
      <c r="E24" t="s">
        <v>618</v>
      </c>
      <c r="F24" t="s">
        <v>599</v>
      </c>
    </row>
    <row r="25" spans="1:7" ht="11.25" hidden="1" customHeight="1" x14ac:dyDescent="0.15">
      <c r="D25" t="s">
        <v>619</v>
      </c>
      <c r="E25" t="s">
        <v>620</v>
      </c>
      <c r="F25" t="s">
        <v>599</v>
      </c>
    </row>
    <row r="26" spans="1:7" ht="11.25" hidden="1" customHeight="1" x14ac:dyDescent="0.15">
      <c r="D26" t="s">
        <v>621</v>
      </c>
      <c r="E26" t="s">
        <v>622</v>
      </c>
      <c r="G2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7" ht="11.25" hidden="1" customHeight="1" x14ac:dyDescent="0.15">
      <c r="D27" t="s">
        <v>623</v>
      </c>
      <c r="E27" t="s">
        <v>624</v>
      </c>
      <c r="G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7" ht="11.25" hidden="1" customHeight="1" x14ac:dyDescent="0.15">
      <c r="D28" t="s">
        <v>625</v>
      </c>
      <c r="E28" t="s">
        <v>626</v>
      </c>
      <c r="G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7" ht="11.25" hidden="1" customHeight="1" x14ac:dyDescent="0.15">
      <c r="D29" t="s">
        <v>627</v>
      </c>
      <c r="E29" t="s">
        <v>628</v>
      </c>
    </row>
    <row r="30" spans="1:7" ht="11.25" hidden="1" customHeight="1" x14ac:dyDescent="0.15">
      <c r="D30" t="s">
        <v>629</v>
      </c>
      <c r="E30" t="s">
        <v>630</v>
      </c>
    </row>
    <row r="31" spans="1:7" ht="11.25" hidden="1" customHeight="1" x14ac:dyDescent="0.15">
      <c r="D31" t="s">
        <v>631</v>
      </c>
      <c r="E31" t="s">
        <v>632</v>
      </c>
    </row>
    <row r="32" spans="1:7" ht="22.5" customHeight="1" x14ac:dyDescent="0.15">
      <c r="A32" t="str">
        <f>IF(TEMPLATE_SPHERE="HEAT","6","5")</f>
        <v>6</v>
      </c>
      <c r="D32" t="str">
        <f>A32</f>
        <v>6</v>
      </c>
      <c r="E3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t="s">
        <v>599</v>
      </c>
    </row>
    <row r="33" spans="1:7" ht="22.5" customHeight="1" x14ac:dyDescent="0.15">
      <c r="D33" t="str">
        <f>D32&amp;".1"</f>
        <v>6.1</v>
      </c>
      <c r="E33" t="str">
        <f>"фамилия"&amp;IF(TEMPLATE_SPHERE&lt;&gt;"HEAT"," руководителя","")</f>
        <v>фамилия</v>
      </c>
      <c r="G3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row>
    <row r="34" spans="1:7" ht="22.5" customHeight="1" x14ac:dyDescent="0.15">
      <c r="D34" t="str">
        <f>D32&amp;".2"</f>
        <v>6.2</v>
      </c>
      <c r="E34" t="str">
        <f>"имя"&amp;IF(TEMPLATE_SPHERE&lt;&gt;"HEAT"," руководителя","")</f>
        <v>имя</v>
      </c>
      <c r="G3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row>
    <row r="35" spans="1:7" ht="22.5" customHeight="1" x14ac:dyDescent="0.15">
      <c r="D35" t="str">
        <f>D32&amp;".3"</f>
        <v>6.3</v>
      </c>
      <c r="E35" t="str">
        <f>"отчество"&amp;IF(TEMPLATE_SPHERE&lt;&gt;"HEAT"," руководителя","")</f>
        <v>отчество</v>
      </c>
      <c r="G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row>
    <row r="36" spans="1:7" ht="33.75" customHeight="1" x14ac:dyDescent="0.15">
      <c r="D36">
        <f>D32+1</f>
        <v>7</v>
      </c>
      <c r="E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G36" t="s">
        <v>633</v>
      </c>
    </row>
    <row r="37" spans="1:7" ht="33.75" customHeight="1" x14ac:dyDescent="0.15">
      <c r="D37">
        <f>D36+1</f>
        <v>8</v>
      </c>
      <c r="E3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G37" t="s">
        <v>633</v>
      </c>
    </row>
    <row r="38" spans="1:7" ht="22.5" customHeight="1" x14ac:dyDescent="0.15">
      <c r="D38">
        <f>D37+1</f>
        <v>9</v>
      </c>
      <c r="E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t="s">
        <v>599</v>
      </c>
      <c r="G38" s="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row>
    <row r="39" spans="1:7" ht="22.5" hidden="1" customHeight="1" x14ac:dyDescent="0.15">
      <c r="D39" t="str">
        <f>D38&amp;".0"</f>
        <v>9.0</v>
      </c>
      <c r="G39" s="6"/>
    </row>
    <row r="40" spans="1:7" ht="22.5" customHeight="1" x14ac:dyDescent="0.15">
      <c r="D40" t="str">
        <f>D38&amp;".1"</f>
        <v>9.1</v>
      </c>
      <c r="G40" s="6"/>
    </row>
    <row r="41" spans="1:7" ht="15" customHeight="1" x14ac:dyDescent="0.15">
      <c r="E41" t="s">
        <v>634</v>
      </c>
      <c r="G41" s="6"/>
    </row>
    <row r="42" spans="1:7" ht="25.5" customHeight="1" x14ac:dyDescent="0.15">
      <c r="D42">
        <f>D38+1</f>
        <v>10</v>
      </c>
      <c r="E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G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row>
    <row r="43" spans="1:7" ht="22.5" customHeight="1" x14ac:dyDescent="0.15">
      <c r="D43">
        <f>D42+1</f>
        <v>11</v>
      </c>
      <c r="E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G43" t="s">
        <v>635</v>
      </c>
    </row>
    <row r="44" spans="1:7" ht="22.5" customHeight="1" x14ac:dyDescent="0.15">
      <c r="D44">
        <f>D43+1</f>
        <v>12</v>
      </c>
      <c r="E44" t="s">
        <v>636</v>
      </c>
      <c r="F44" t="s">
        <v>599</v>
      </c>
      <c r="G44" t="str">
        <f>IF(TEMPLATE_SPHERE="TKO","Указывается режим работы организации.","")</f>
        <v/>
      </c>
    </row>
    <row r="45" spans="1:7" ht="22.5" customHeight="1" x14ac:dyDescent="0.15">
      <c r="D45" t="str">
        <f>D44&amp;".1"</f>
        <v>12.1</v>
      </c>
      <c r="E45" t="str">
        <f>"режим работы регулируемой организации"&amp;IF(TEMPLATE_SPHERE="HEAT",", ЕТО, ТО","")</f>
        <v>режим работы регулируемой организации, ЕТО, ТО</v>
      </c>
      <c r="G45" t="s">
        <v>637</v>
      </c>
    </row>
    <row r="46" spans="1:7" ht="22.5" customHeight="1" x14ac:dyDescent="0.15">
      <c r="A46" s="6"/>
      <c r="D46" t="str">
        <f>D44&amp;".2"</f>
        <v>12.2</v>
      </c>
      <c r="E46" t="s">
        <v>638</v>
      </c>
      <c r="G46" t="s">
        <v>639</v>
      </c>
    </row>
    <row r="47" spans="1:7" ht="22.5" customHeight="1" x14ac:dyDescent="0.15">
      <c r="A47" s="6"/>
      <c r="D47" t="str">
        <f>D44&amp;".3"</f>
        <v>12.3</v>
      </c>
      <c r="E47" t="s">
        <v>640</v>
      </c>
      <c r="G47" t="s">
        <v>641</v>
      </c>
    </row>
    <row r="48" spans="1:7" ht="22.5" customHeight="1" x14ac:dyDescent="0.15">
      <c r="A48" s="6"/>
      <c r="D48" t="str">
        <f>IF(TEMPLATE_SPHERE="TKO",D44&amp;".0",D44&amp;".4")</f>
        <v>12.4</v>
      </c>
      <c r="E48" t="s">
        <v>642</v>
      </c>
      <c r="G48" t="s">
        <v>643</v>
      </c>
    </row>
    <row r="49" spans="3:7" ht="22.5" customHeight="1" x14ac:dyDescent="0.15">
      <c r="E49" t="s">
        <v>644</v>
      </c>
      <c r="G49" t="s">
        <v>645</v>
      </c>
    </row>
    <row r="50" spans="3:7" ht="22.5" customHeight="1" x14ac:dyDescent="0.15">
      <c r="D50">
        <f>D44+1</f>
        <v>13</v>
      </c>
      <c r="E50" t="s">
        <v>646</v>
      </c>
      <c r="G5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row>
    <row r="52" spans="3:7" ht="30" customHeight="1" x14ac:dyDescent="0.15">
      <c r="C52" s="6"/>
      <c r="D52" s="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6"/>
      <c r="F52" s="6"/>
      <c r="G52" s="6"/>
    </row>
    <row r="53" spans="3:7" ht="39.75" customHeight="1" x14ac:dyDescent="0.15">
      <c r="C53" s="6"/>
      <c r="D53" s="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6"/>
      <c r="F53" s="6"/>
      <c r="G53" s="6"/>
    </row>
    <row r="55" spans="3:7" ht="27" customHeight="1" x14ac:dyDescent="0.15"/>
    <row r="57" spans="3:7" ht="39" customHeight="1" x14ac:dyDescent="0.15"/>
    <row r="58" spans="3:7" ht="27" customHeight="1" x14ac:dyDescent="0.15"/>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Q13"/>
  <sheetViews>
    <sheetView showGridLines="0" topLeftCell="C3" zoomScale="90" workbookViewId="0"/>
  </sheetViews>
  <sheetFormatPr defaultColWidth="10.5703125" defaultRowHeight="14.25" customHeight="1" x14ac:dyDescent="0.15"/>
  <cols>
    <col min="1" max="2" width="9.140625" hidden="1" customWidth="1"/>
    <col min="3" max="3" width="3.7109375" customWidth="1"/>
    <col min="4" max="4" width="5.5703125" customWidth="1"/>
    <col min="5" max="5" width="48.42578125" customWidth="1"/>
    <col min="6" max="6" width="38.140625" customWidth="1"/>
    <col min="7" max="7" width="1.7109375" hidden="1" customWidth="1"/>
    <col min="8" max="11" width="19.85546875" customWidth="1"/>
    <col min="12" max="12" width="9.7109375" customWidth="1"/>
    <col min="13" max="18" width="19.85546875" customWidth="1"/>
    <col min="19" max="19" width="1.7109375" hidden="1" customWidth="1"/>
    <col min="20" max="22" width="19.85546875" hidden="1" customWidth="1"/>
    <col min="23" max="23" width="1.7109375" hidden="1" customWidth="1"/>
    <col min="24" max="26" width="19.85546875" hidden="1" customWidth="1"/>
    <col min="27" max="27" width="1.7109375" hidden="1" customWidth="1"/>
    <col min="28" max="29" width="19.85546875" hidden="1" customWidth="1"/>
    <col min="30" max="30" width="1.7109375" hidden="1" customWidth="1"/>
    <col min="31" max="31" width="103.7109375" customWidth="1"/>
    <col min="32" max="34" width="103.7109375" hidden="1" customWidth="1"/>
    <col min="35" max="35" width="3.7109375" customWidth="1"/>
    <col min="39" max="39" width="13.7109375" hidden="1" customWidth="1"/>
    <col min="40" max="40" width="15.42578125" customWidth="1"/>
    <col min="41" max="41" width="16.28515625" customWidth="1"/>
  </cols>
  <sheetData>
    <row r="1" spans="4:43" ht="14.25" hidden="1" customHeight="1" x14ac:dyDescent="0.15">
      <c r="H1" s="6" t="s">
        <v>647</v>
      </c>
      <c r="I1" s="6"/>
      <c r="J1" s="6"/>
      <c r="K1" s="6"/>
      <c r="L1" s="6"/>
      <c r="M1" s="6"/>
      <c r="N1" s="6"/>
      <c r="O1" s="6"/>
      <c r="P1" s="6"/>
      <c r="Q1" s="6"/>
      <c r="R1" s="6"/>
      <c r="T1" s="6" t="s">
        <v>648</v>
      </c>
      <c r="U1" s="6"/>
      <c r="V1" s="6"/>
      <c r="X1" s="6" t="s">
        <v>649</v>
      </c>
      <c r="Y1" s="6"/>
      <c r="Z1" s="6"/>
      <c r="AB1" s="6" t="s">
        <v>650</v>
      </c>
      <c r="AC1" s="6"/>
    </row>
    <row r="2" spans="4:43" ht="14.25" hidden="1" customHeight="1" x14ac:dyDescent="0.15"/>
    <row r="3" spans="4:43" ht="6" customHeight="1" x14ac:dyDescent="0.15">
      <c r="H3" t="s">
        <v>651</v>
      </c>
    </row>
    <row r="4" spans="4:43" ht="24" customHeight="1" x14ac:dyDescent="0.15">
      <c r="D4" s="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6"/>
      <c r="F4" s="6"/>
      <c r="G4" s="6"/>
      <c r="H4" s="6"/>
      <c r="I4" s="6"/>
      <c r="J4" s="6"/>
      <c r="K4" s="6"/>
      <c r="L4" s="6"/>
      <c r="M4" s="6"/>
      <c r="N4" s="6"/>
      <c r="O4" s="6"/>
      <c r="P4" s="6"/>
      <c r="Q4" s="6"/>
      <c r="R4" s="6"/>
    </row>
    <row r="5" spans="4:43" ht="17.25" customHeight="1" x14ac:dyDescent="0.15">
      <c r="D5" s="6" t="str">
        <f>IF(org=0,"Не определено",org)</f>
        <v>КГУП "Примтеплоэнерго"</v>
      </c>
      <c r="E5" s="6"/>
      <c r="F5" s="6"/>
      <c r="G5" s="6"/>
      <c r="H5" s="6"/>
      <c r="I5" s="6"/>
      <c r="J5" s="6"/>
      <c r="K5" s="6"/>
      <c r="L5" s="6"/>
      <c r="M5" s="6"/>
      <c r="N5" s="6"/>
      <c r="O5" s="6"/>
      <c r="P5" s="6"/>
      <c r="Q5" s="6"/>
      <c r="R5" s="6"/>
    </row>
    <row r="6" spans="4:43" ht="11.25" customHeight="1" x14ac:dyDescent="0.15"/>
    <row r="7" spans="4:43" ht="14.25" customHeight="1" x14ac:dyDescent="0.15">
      <c r="D7" s="6" t="s">
        <v>593</v>
      </c>
      <c r="E7" s="6"/>
      <c r="F7" s="6"/>
      <c r="G7" s="6"/>
      <c r="H7" s="6"/>
      <c r="I7" s="6"/>
      <c r="J7" s="6"/>
      <c r="K7" s="6"/>
      <c r="L7" s="6"/>
      <c r="M7" s="6"/>
      <c r="N7" s="6"/>
      <c r="O7" s="6"/>
      <c r="P7" s="6"/>
      <c r="Q7" s="6"/>
      <c r="R7" s="6"/>
      <c r="S7" s="6"/>
      <c r="T7" s="6"/>
      <c r="U7" s="6"/>
      <c r="V7" s="6"/>
      <c r="W7" s="6"/>
      <c r="X7" s="6"/>
      <c r="Y7" s="6"/>
      <c r="Z7" s="6"/>
      <c r="AA7" s="6"/>
      <c r="AB7" s="6"/>
      <c r="AC7" s="6"/>
      <c r="AD7" s="6"/>
      <c r="AE7" s="6" t="s">
        <v>594</v>
      </c>
      <c r="AF7" s="6" t="s">
        <v>594</v>
      </c>
      <c r="AG7" s="6" t="s">
        <v>594</v>
      </c>
      <c r="AH7" s="6" t="s">
        <v>594</v>
      </c>
    </row>
    <row r="8" spans="4:43" ht="25.5" customHeight="1" x14ac:dyDescent="0.15">
      <c r="D8" s="6" t="s">
        <v>75</v>
      </c>
      <c r="E8" s="6" t="str">
        <f>"Наименование "&amp;IF(TEMPLATE_SPHERE&lt;&gt;"HEAT","централизованной ","")&amp;"системы "&amp;TEMPLATE_SPHERE_RUS</f>
        <v>Наименование системы теплоснабжения</v>
      </c>
      <c r="F8" s="6" t="str">
        <f>IF(TEMPLATE_SPHERE&lt;&gt;"HEAT","Регулируемый вид деятельности","Вид регулируемой деятельности")</f>
        <v>Вид регулируемой деятельности</v>
      </c>
      <c r="H8" s="6" t="s">
        <v>652</v>
      </c>
      <c r="I8" s="6" t="s">
        <v>653</v>
      </c>
      <c r="J8" s="6" t="s">
        <v>654</v>
      </c>
      <c r="K8" s="6"/>
      <c r="L8" s="6"/>
      <c r="M8" s="6"/>
      <c r="N8" s="6" t="s">
        <v>655</v>
      </c>
      <c r="O8" s="6"/>
      <c r="P8" s="6" t="s">
        <v>656</v>
      </c>
      <c r="Q8" s="6"/>
      <c r="R8" s="6" t="s">
        <v>657</v>
      </c>
      <c r="T8" s="6" t="s">
        <v>658</v>
      </c>
      <c r="U8" s="6" t="s">
        <v>659</v>
      </c>
      <c r="V8" s="6" t="s">
        <v>660</v>
      </c>
      <c r="X8" s="6" t="s">
        <v>661</v>
      </c>
      <c r="Y8" s="6" t="s">
        <v>662</v>
      </c>
      <c r="Z8" s="6" t="s">
        <v>663</v>
      </c>
      <c r="AB8" s="6" t="s">
        <v>664</v>
      </c>
      <c r="AC8" s="6" t="s">
        <v>657</v>
      </c>
      <c r="AE8" s="6"/>
      <c r="AF8" s="6"/>
      <c r="AG8" s="6"/>
      <c r="AH8" s="6"/>
    </row>
    <row r="9" spans="4:43" ht="33.75" customHeight="1" x14ac:dyDescent="0.15">
      <c r="D9" s="6"/>
      <c r="E9" s="6"/>
      <c r="F9" s="6"/>
      <c r="H9" s="6"/>
      <c r="I9" s="6"/>
      <c r="J9" t="s">
        <v>665</v>
      </c>
      <c r="K9" t="s">
        <v>666</v>
      </c>
      <c r="L9" t="s">
        <v>667</v>
      </c>
      <c r="M9" t="s">
        <v>668</v>
      </c>
      <c r="N9" t="s">
        <v>669</v>
      </c>
      <c r="O9" t="s">
        <v>668</v>
      </c>
      <c r="P9" t="s">
        <v>670</v>
      </c>
      <c r="Q9" t="s">
        <v>668</v>
      </c>
      <c r="R9" s="6"/>
      <c r="T9" s="6"/>
      <c r="U9" s="6"/>
      <c r="V9" s="6"/>
      <c r="X9" s="6"/>
      <c r="Y9" s="6"/>
      <c r="Z9" s="6"/>
      <c r="AB9" s="6"/>
      <c r="AC9" s="6"/>
      <c r="AE9" s="6"/>
      <c r="AF9" s="6"/>
      <c r="AG9" s="6"/>
      <c r="AH9" s="6"/>
    </row>
    <row r="10" spans="4:43" ht="12" hidden="1" customHeight="1" x14ac:dyDescent="0.15"/>
    <row r="11" spans="4:43" ht="11.25" hidden="1" customHeight="1" x14ac:dyDescent="0.15">
      <c r="D11" t="s">
        <v>671</v>
      </c>
    </row>
    <row r="12" spans="4:43" ht="14.25" customHeight="1" x14ac:dyDescent="0.15">
      <c r="D12" t="s">
        <v>165</v>
      </c>
      <c r="E12" t="s">
        <v>4</v>
      </c>
      <c r="AE12" s="6" t="s">
        <v>672</v>
      </c>
      <c r="AF12" s="6" t="s">
        <v>673</v>
      </c>
      <c r="AG12" s="6" t="s">
        <v>674</v>
      </c>
      <c r="AH12" s="6" t="s">
        <v>675</v>
      </c>
      <c r="AP12" t="s">
        <v>676</v>
      </c>
      <c r="AQ12" t="s">
        <v>676</v>
      </c>
    </row>
    <row r="13" spans="4:43" ht="17.25" customHeight="1" x14ac:dyDescent="0.15">
      <c r="E13" t="str">
        <f>IF(TITLE_DIFFERENTIATION_TYPE="нет","","Добавить систему")</f>
        <v/>
      </c>
      <c r="F13" t="str">
        <f>IF(TITLE_DIFFERENTIATION_TYPE="нет","Добавить вид деятельности","")</f>
        <v>Добавить вид деятельности</v>
      </c>
      <c r="AE13" s="6"/>
      <c r="AF13" s="6"/>
      <c r="AG13" s="6"/>
      <c r="AH13" s="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6"/>
  <sheetViews>
    <sheetView showGridLines="0" topLeftCell="C5" zoomScale="90" workbookViewId="0"/>
  </sheetViews>
  <sheetFormatPr defaultColWidth="10.5703125" defaultRowHeight="14.25" customHeight="1" x14ac:dyDescent="0.15"/>
  <cols>
    <col min="1" max="2" width="9.140625" hidden="1" customWidth="1"/>
    <col min="3" max="3" width="3.7109375" customWidth="1"/>
    <col min="4" max="4" width="5.5703125" customWidth="1"/>
    <col min="5" max="5" width="38.140625" customWidth="1"/>
    <col min="6" max="7" width="3.7109375" customWidth="1"/>
    <col min="8" max="8" width="38.28515625" customWidth="1"/>
    <col min="9" max="9" width="35.7109375" customWidth="1"/>
    <col min="10" max="10" width="103.7109375" customWidth="1"/>
    <col min="11" max="11" width="3.7109375" customWidth="1"/>
    <col min="15" max="15" width="13.7109375" customWidth="1"/>
    <col min="16" max="16" width="15.42578125" customWidth="1"/>
    <col min="17" max="17" width="16.28515625" customWidth="1"/>
  </cols>
  <sheetData>
    <row r="1" spans="4:19" ht="14.25" hidden="1" customHeight="1" x14ac:dyDescent="0.15">
      <c r="H1" s="6" t="s">
        <v>647</v>
      </c>
      <c r="I1" s="6"/>
    </row>
    <row r="2" spans="4:19" ht="14.25" hidden="1" customHeight="1" x14ac:dyDescent="0.15">
      <c r="D2" s="6" t="s">
        <v>165</v>
      </c>
      <c r="E2" s="6"/>
      <c r="G2" t="s">
        <v>165</v>
      </c>
      <c r="O2" t="s">
        <v>677</v>
      </c>
      <c r="R2" t="s">
        <v>676</v>
      </c>
      <c r="S2" t="s">
        <v>676</v>
      </c>
    </row>
    <row r="3" spans="4:19" ht="14.25" hidden="1" customHeight="1" x14ac:dyDescent="0.15">
      <c r="D3" s="6"/>
      <c r="E3" s="6"/>
      <c r="H3" t="s">
        <v>678</v>
      </c>
    </row>
    <row r="4" spans="4:19" ht="14.25" hidden="1" customHeight="1" x14ac:dyDescent="0.15"/>
    <row r="5" spans="4:19" ht="6" customHeight="1" x14ac:dyDescent="0.15">
      <c r="H5" t="s">
        <v>651</v>
      </c>
    </row>
    <row r="6" spans="4:19" ht="17.25" customHeight="1" x14ac:dyDescent="0.15">
      <c r="D6" s="6" t="s">
        <v>679</v>
      </c>
      <c r="E6" s="6"/>
      <c r="F6" s="6"/>
      <c r="G6" s="6"/>
      <c r="H6" s="6"/>
      <c r="I6" s="6"/>
    </row>
    <row r="7" spans="4:19" ht="17.25" customHeight="1" x14ac:dyDescent="0.15">
      <c r="D7" s="6" t="str">
        <f>IF(org=0,"Не определено",org)</f>
        <v>КГУП "Примтеплоэнерго"</v>
      </c>
      <c r="E7" s="6"/>
      <c r="F7" s="6"/>
      <c r="G7" s="6"/>
      <c r="H7" s="6"/>
      <c r="I7" s="6"/>
    </row>
    <row r="8" spans="4:19" ht="6" customHeight="1" x14ac:dyDescent="0.15"/>
    <row r="9" spans="4:19" ht="6" customHeight="1" x14ac:dyDescent="0.15"/>
    <row r="10" spans="4:19" ht="14.25" customHeight="1" x14ac:dyDescent="0.15">
      <c r="D10" s="6" t="s">
        <v>593</v>
      </c>
      <c r="E10" s="6"/>
      <c r="F10" s="6"/>
      <c r="G10" s="6"/>
      <c r="H10" s="6"/>
      <c r="I10" s="6"/>
      <c r="J10" s="6" t="s">
        <v>594</v>
      </c>
    </row>
    <row r="11" spans="4:19" ht="25.5" customHeight="1" x14ac:dyDescent="0.15">
      <c r="D11" s="6" t="s">
        <v>75</v>
      </c>
      <c r="E11" s="6" t="str">
        <f>IF(TEMPLATE_SPHERE&lt;&gt;"HEAT","Регулируемый вид деятельности","Вид регулируемой деятельности")</f>
        <v>Вид регулируемой деятельности</v>
      </c>
      <c r="F11" s="6" t="s">
        <v>75</v>
      </c>
      <c r="G11" s="6"/>
      <c r="H11" s="6" t="s">
        <v>680</v>
      </c>
      <c r="I11" s="6" t="s">
        <v>681</v>
      </c>
      <c r="J11" s="6"/>
    </row>
    <row r="12" spans="4:19" ht="14.25" customHeight="1" x14ac:dyDescent="0.15">
      <c r="D12" s="6"/>
      <c r="E12" s="6"/>
      <c r="F12" s="6"/>
      <c r="G12" s="6"/>
      <c r="H12" s="6"/>
      <c r="I12" s="6"/>
      <c r="J12" s="6"/>
    </row>
    <row r="13" spans="4:19" ht="11.25" customHeight="1" x14ac:dyDescent="0.15">
      <c r="D13" t="s">
        <v>671</v>
      </c>
    </row>
    <row r="14" spans="4:19" ht="14.25" customHeight="1" x14ac:dyDescent="0.15">
      <c r="D14" s="6" t="s">
        <v>165</v>
      </c>
      <c r="E14" s="6"/>
      <c r="G14" t="s">
        <v>165</v>
      </c>
      <c r="J14" s="6" t="s">
        <v>682</v>
      </c>
      <c r="R14" t="s">
        <v>676</v>
      </c>
      <c r="S14" t="s">
        <v>676</v>
      </c>
    </row>
    <row r="15" spans="4:19" ht="14.25" customHeight="1" x14ac:dyDescent="0.15">
      <c r="D15" s="6"/>
      <c r="E15" s="6"/>
      <c r="H15" t="s">
        <v>678</v>
      </c>
      <c r="J15" s="6"/>
    </row>
    <row r="16" spans="4:19" ht="14.25" customHeight="1" x14ac:dyDescent="0.15">
      <c r="E16" t="s">
        <v>429</v>
      </c>
      <c r="J16" s="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15"/>
  <sheetViews>
    <sheetView showGridLines="0" topLeftCell="D3" zoomScale="90" workbookViewId="0"/>
  </sheetViews>
  <sheetFormatPr defaultColWidth="10.5703125" defaultRowHeight="14.25" customHeight="1" x14ac:dyDescent="0.15"/>
  <cols>
    <col min="1" max="3" width="9.140625" hidden="1" customWidth="1"/>
    <col min="4" max="4" width="3.7109375" customWidth="1"/>
    <col min="5" max="5" width="6.28515625" customWidth="1"/>
    <col min="6" max="6" width="1.7109375" hidden="1" customWidth="1"/>
    <col min="7" max="8" width="30.7109375" customWidth="1"/>
    <col min="9" max="9" width="9" customWidth="1"/>
    <col min="10" max="10" width="12.140625" customWidth="1"/>
    <col min="11" max="11" width="46.7109375" customWidth="1"/>
    <col min="12" max="12" width="100.28515625" customWidth="1"/>
    <col min="13" max="13" width="7.5703125" customWidth="1"/>
  </cols>
  <sheetData>
    <row r="1" spans="1:19" ht="5.25" hidden="1" customHeight="1" x14ac:dyDescent="0.15">
      <c r="G1" t="s">
        <v>70</v>
      </c>
      <c r="H1" t="s">
        <v>71</v>
      </c>
      <c r="I1" t="s">
        <v>72</v>
      </c>
      <c r="P1" t="s">
        <v>70</v>
      </c>
      <c r="Q1" t="s">
        <v>71</v>
      </c>
      <c r="R1" t="s">
        <v>72</v>
      </c>
    </row>
    <row r="2" spans="1:19" ht="5.25" hidden="1" customHeight="1" x14ac:dyDescent="0.15"/>
    <row r="3" spans="1:19" ht="6" customHeight="1" x14ac:dyDescent="0.15"/>
    <row r="4" spans="1:19" ht="22.5" customHeight="1" x14ac:dyDescent="0.15">
      <c r="E4" s="6" t="s">
        <v>683</v>
      </c>
      <c r="F4" s="6"/>
      <c r="G4" s="6"/>
      <c r="H4" s="6"/>
      <c r="I4" s="6"/>
    </row>
    <row r="5" spans="1:19" ht="17.25" customHeight="1" x14ac:dyDescent="0.15">
      <c r="E5" s="6" t="str">
        <f>IF(org=0,"Не определено",org)</f>
        <v>КГУП "Примтеплоэнерго"</v>
      </c>
      <c r="F5" s="6"/>
      <c r="G5" s="6"/>
      <c r="H5" s="6"/>
      <c r="I5" s="6"/>
    </row>
    <row r="6" spans="1:19" ht="11.25" customHeight="1" x14ac:dyDescent="0.15"/>
    <row r="7" spans="1:19" ht="14.25" customHeight="1" x14ac:dyDescent="0.15">
      <c r="E7" s="6" t="s">
        <v>593</v>
      </c>
      <c r="F7" s="6"/>
      <c r="G7" s="6"/>
      <c r="H7" s="6"/>
      <c r="I7" s="6"/>
      <c r="J7" s="6"/>
      <c r="K7" s="6"/>
      <c r="L7" s="6" t="s">
        <v>594</v>
      </c>
    </row>
    <row r="8" spans="1:19" ht="45" customHeight="1" x14ac:dyDescent="0.15">
      <c r="E8" t="s">
        <v>75</v>
      </c>
      <c r="G8" t="s">
        <v>73</v>
      </c>
      <c r="H8" t="s">
        <v>74</v>
      </c>
      <c r="I8" t="s">
        <v>72</v>
      </c>
      <c r="J8" t="s">
        <v>684</v>
      </c>
      <c r="K8" t="s">
        <v>685</v>
      </c>
      <c r="L8" s="6"/>
    </row>
    <row r="9" spans="1:19" ht="12" hidden="1" customHeight="1" x14ac:dyDescent="0.15"/>
    <row r="10" spans="1:19" ht="14.25" hidden="1" customHeight="1" x14ac:dyDescent="0.15">
      <c r="E10">
        <v>0</v>
      </c>
      <c r="L10" s="6" t="s">
        <v>686</v>
      </c>
    </row>
    <row r="11" spans="1:19" ht="15" hidden="1" customHeight="1" x14ac:dyDescent="0.15">
      <c r="A11" s="6"/>
      <c r="L11" s="6"/>
    </row>
    <row r="12" spans="1:19" ht="14.25" customHeight="1" x14ac:dyDescent="0.15">
      <c r="A12" s="6"/>
      <c r="E12">
        <v>1</v>
      </c>
      <c r="F12">
        <v>23</v>
      </c>
      <c r="J12" t="s">
        <v>50</v>
      </c>
      <c r="K12" t="s">
        <v>4</v>
      </c>
      <c r="L12" s="6"/>
      <c r="P12" t="s">
        <v>687</v>
      </c>
      <c r="Q12" t="s">
        <v>688</v>
      </c>
      <c r="R12" t="s">
        <v>689</v>
      </c>
      <c r="S12" t="s">
        <v>690</v>
      </c>
    </row>
    <row r="13" spans="1:19" ht="15" customHeight="1" x14ac:dyDescent="0.15">
      <c r="A13" s="6"/>
      <c r="G13" t="s">
        <v>88</v>
      </c>
      <c r="L13" s="6"/>
    </row>
    <row r="14" spans="1:19" ht="11.25" customHeight="1" x14ac:dyDescent="0.15"/>
    <row r="15" spans="1:19" ht="14.25" customHeight="1" x14ac:dyDescent="0.15">
      <c r="G1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x14ac:dyDescent="0.15"/>
  <cols>
    <col min="4" max="8" width="36.42578125" customWidth="1"/>
  </cols>
  <sheetData>
    <row r="1" spans="1:8" ht="9" customHeight="1" x14ac:dyDescent="0.15">
      <c r="A1" t="s">
        <v>691</v>
      </c>
      <c r="C1" t="s">
        <v>692</v>
      </c>
      <c r="D1" t="s">
        <v>693</v>
      </c>
      <c r="E1" t="s">
        <v>694</v>
      </c>
      <c r="F1" t="s">
        <v>695</v>
      </c>
      <c r="G1" t="s">
        <v>696</v>
      </c>
      <c r="H1" t="s">
        <v>697</v>
      </c>
    </row>
    <row r="2" spans="1:8" ht="9" customHeight="1" x14ac:dyDescent="0.15">
      <c r="A2" t="s">
        <v>698</v>
      </c>
      <c r="C2" t="str">
        <f>INDEX(TEMPLATE_NUMBER_FORM_LIST,MATCH(TEMPLATE_SPHERE,TEMPLATE_SPHERE_LIST,0))</f>
        <v>16</v>
      </c>
      <c r="D2" t="s">
        <v>169</v>
      </c>
      <c r="E2" t="s">
        <v>106</v>
      </c>
      <c r="F2" t="s">
        <v>106</v>
      </c>
      <c r="G2" t="s">
        <v>106</v>
      </c>
    </row>
    <row r="3" spans="1:8" ht="63" customHeight="1" x14ac:dyDescent="0.15">
      <c r="B3" t="s">
        <v>165</v>
      </c>
      <c r="C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t="s">
        <v>699</v>
      </c>
      <c r="E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row>
    <row r="4" spans="1:8" ht="54" customHeight="1" x14ac:dyDescent="0.15">
      <c r="A4" t="s">
        <v>700</v>
      </c>
      <c r="B4" t="s">
        <v>89</v>
      </c>
      <c r="C4"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t="s">
        <v>701</v>
      </c>
      <c r="E4"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H4" t="s">
        <v>702</v>
      </c>
    </row>
    <row r="5" spans="1:8" ht="171" customHeight="1" x14ac:dyDescent="0.15">
      <c r="A5" t="s">
        <v>703</v>
      </c>
      <c r="B5" t="s">
        <v>77</v>
      </c>
      <c r="C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t="s">
        <v>704</v>
      </c>
      <c r="E5"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H5" t="s">
        <v>705</v>
      </c>
    </row>
    <row r="6" spans="1:8" ht="90" customHeight="1" x14ac:dyDescent="0.15">
      <c r="A6" t="s">
        <v>706</v>
      </c>
      <c r="B6" t="s">
        <v>78</v>
      </c>
      <c r="C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t="s">
        <v>707</v>
      </c>
      <c r="E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row>
    <row r="7" spans="1:8" ht="45" customHeight="1" x14ac:dyDescent="0.15">
      <c r="A7" t="s">
        <v>708</v>
      </c>
      <c r="B7" t="s">
        <v>100</v>
      </c>
      <c r="C7" t="str">
        <f>IF(TEMPLATE_SPHERE="HEAT",D7,E7)</f>
        <v>Форма 11. Информация о расходах на капитальный и текущий ремонт основных средств</v>
      </c>
      <c r="D7" t="s">
        <v>709</v>
      </c>
      <c r="E7" t="s">
        <v>710</v>
      </c>
    </row>
    <row r="8" spans="1:8" ht="108" customHeight="1" x14ac:dyDescent="0.15">
      <c r="A8" t="s">
        <v>711</v>
      </c>
      <c r="B8" t="s">
        <v>79</v>
      </c>
      <c r="C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t="s">
        <v>712</v>
      </c>
      <c r="E8" t="s">
        <v>713</v>
      </c>
    </row>
    <row r="9" spans="1:8" ht="99" customHeight="1" x14ac:dyDescent="0.15">
      <c r="A9" t="s">
        <v>714</v>
      </c>
      <c r="C9" t="s">
        <v>715</v>
      </c>
    </row>
    <row r="10" spans="1:8" ht="117" customHeight="1" x14ac:dyDescent="0.15">
      <c r="A10" t="s">
        <v>716</v>
      </c>
      <c r="C10" t="s">
        <v>717</v>
      </c>
    </row>
    <row r="11" spans="1:8" ht="108" customHeight="1" x14ac:dyDescent="0.15">
      <c r="A11" t="s">
        <v>718</v>
      </c>
      <c r="C11" t="s">
        <v>719</v>
      </c>
    </row>
    <row r="12" spans="1:8" ht="54" customHeight="1" x14ac:dyDescent="0.15">
      <c r="A12" t="s">
        <v>720</v>
      </c>
      <c r="C12" t="s">
        <v>721</v>
      </c>
    </row>
    <row r="13" spans="1:8" ht="99" customHeight="1" x14ac:dyDescent="0.15">
      <c r="A13" t="s">
        <v>722</v>
      </c>
      <c r="C13" t="s">
        <v>723</v>
      </c>
    </row>
    <row r="14" spans="1:8" ht="99" customHeight="1" x14ac:dyDescent="0.15">
      <c r="A14" t="s">
        <v>724</v>
      </c>
      <c r="C14" t="s">
        <v>725</v>
      </c>
    </row>
    <row r="15" spans="1:8" ht="117" customHeight="1" x14ac:dyDescent="0.15">
      <c r="A15" t="s">
        <v>726</v>
      </c>
      <c r="C15" t="s">
        <v>727</v>
      </c>
    </row>
    <row r="16" spans="1:8" ht="54" customHeight="1" x14ac:dyDescent="0.15">
      <c r="A16" t="s">
        <v>728</v>
      </c>
      <c r="C16" t="s">
        <v>729</v>
      </c>
    </row>
    <row r="17" spans="1:8" ht="63" customHeight="1" x14ac:dyDescent="0.15">
      <c r="A17" t="s">
        <v>730</v>
      </c>
      <c r="C17" t="s">
        <v>731</v>
      </c>
    </row>
    <row r="18" spans="1:8" ht="27" customHeight="1" x14ac:dyDescent="0.15">
      <c r="A18" t="s">
        <v>732</v>
      </c>
      <c r="C18" t="s">
        <v>733</v>
      </c>
    </row>
    <row r="19" spans="1:8" ht="54" customHeight="1" x14ac:dyDescent="0.15">
      <c r="A19" t="s">
        <v>734</v>
      </c>
      <c r="C19" t="s">
        <v>735</v>
      </c>
    </row>
    <row r="20" spans="1:8" ht="36" customHeight="1" x14ac:dyDescent="0.15">
      <c r="A20" t="s">
        <v>736</v>
      </c>
      <c r="C20" t="s">
        <v>737</v>
      </c>
    </row>
    <row r="21" spans="1:8" ht="28.5" customHeight="1" x14ac:dyDescent="0.15">
      <c r="A21" t="s">
        <v>738</v>
      </c>
      <c r="C21" t="s">
        <v>739</v>
      </c>
    </row>
    <row r="22" spans="1:8" ht="28.5" customHeight="1" x14ac:dyDescent="0.15">
      <c r="A22" t="s">
        <v>740</v>
      </c>
      <c r="C22" t="s">
        <v>741</v>
      </c>
    </row>
    <row r="23" spans="1:8" ht="28.5" customHeight="1" x14ac:dyDescent="0.15">
      <c r="A23" t="s">
        <v>742</v>
      </c>
      <c r="C23" t="s">
        <v>743</v>
      </c>
    </row>
    <row r="24" spans="1:8" ht="28.5" customHeight="1" x14ac:dyDescent="0.15">
      <c r="A24" t="s">
        <v>744</v>
      </c>
      <c r="C24" t="s">
        <v>745</v>
      </c>
    </row>
    <row r="25" spans="1:8" ht="28.5" customHeight="1" x14ac:dyDescent="0.15">
      <c r="A25" t="s">
        <v>746</v>
      </c>
      <c r="C25" t="s">
        <v>747</v>
      </c>
    </row>
    <row r="26" spans="1:8" ht="28.5" customHeight="1" x14ac:dyDescent="0.15">
      <c r="A26" t="s">
        <v>748</v>
      </c>
      <c r="C26" t="s">
        <v>749</v>
      </c>
    </row>
    <row r="27" spans="1:8" ht="28.5" customHeight="1" x14ac:dyDescent="0.15">
      <c r="A27" t="s">
        <v>750</v>
      </c>
      <c r="C27" t="s">
        <v>751</v>
      </c>
    </row>
    <row r="28" spans="1:8" ht="28.5" customHeight="1" x14ac:dyDescent="0.15">
      <c r="A28" t="s">
        <v>752</v>
      </c>
      <c r="C28" t="s">
        <v>753</v>
      </c>
    </row>
    <row r="29" spans="1:8" ht="126" customHeight="1" x14ac:dyDescent="0.15">
      <c r="A29" t="s">
        <v>754</v>
      </c>
      <c r="B29" t="s">
        <v>187</v>
      </c>
      <c r="C2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t="s">
        <v>755</v>
      </c>
      <c r="E2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H29" t="s">
        <v>756</v>
      </c>
    </row>
    <row r="30" spans="1:8" ht="36" customHeight="1" x14ac:dyDescent="0.15">
      <c r="A30" t="s">
        <v>757</v>
      </c>
      <c r="C30"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t="s">
        <v>758</v>
      </c>
      <c r="E3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row>
    <row r="34" spans="2:3" ht="9" customHeight="1" x14ac:dyDescent="0.15">
      <c r="B34" t="s">
        <v>259</v>
      </c>
      <c r="C34">
        <f>INDEX(TEMPLATE_NAME_FORM_LIST,B34,MATCH(TEMPLATE_SPHERE,TEMPLATE_SPHERE_LIST,0))</f>
        <v>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D154"/>
  <sheetViews>
    <sheetView showGridLines="0" workbookViewId="0"/>
  </sheetViews>
  <sheetFormatPr defaultColWidth="9.140625" defaultRowHeight="9" customHeight="1" x14ac:dyDescent="0.15"/>
  <cols>
    <col min="3" max="7" width="8" customWidth="1"/>
    <col min="8" max="12" width="8.5703125" customWidth="1"/>
    <col min="13" max="14" width="27.7109375" customWidth="1"/>
    <col min="15" max="19" width="5.140625" customWidth="1"/>
    <col min="20" max="24" width="27.7109375" customWidth="1"/>
    <col min="25" max="25" width="1.85546875" customWidth="1"/>
    <col min="26" max="29" width="27.7109375" customWidth="1"/>
    <col min="30" max="30" width="3.85546875" customWidth="1"/>
  </cols>
  <sheetData>
    <row r="1" spans="1:30" ht="18" customHeight="1" x14ac:dyDescent="0.15">
      <c r="C1" t="s">
        <v>759</v>
      </c>
      <c r="H1" t="s">
        <v>760</v>
      </c>
      <c r="M1" t="s">
        <v>761</v>
      </c>
      <c r="N1" t="s">
        <v>762</v>
      </c>
      <c r="O1" s="6" t="s">
        <v>763</v>
      </c>
      <c r="P1" s="6"/>
      <c r="Q1" s="6"/>
      <c r="R1" s="6"/>
      <c r="S1" s="6"/>
      <c r="T1" s="6" t="s">
        <v>761</v>
      </c>
      <c r="U1" s="6"/>
      <c r="V1" s="6"/>
      <c r="W1" s="6"/>
      <c r="X1" s="6"/>
      <c r="Z1" s="6" t="s">
        <v>764</v>
      </c>
      <c r="AA1" s="6"/>
      <c r="AB1" s="6"/>
      <c r="AC1" s="6"/>
      <c r="AD1" s="6"/>
    </row>
    <row r="2" spans="1:30" ht="18" customHeight="1" x14ac:dyDescent="0.15">
      <c r="C2" t="s">
        <v>693</v>
      </c>
      <c r="D2" t="s">
        <v>694</v>
      </c>
      <c r="E2" t="s">
        <v>695</v>
      </c>
      <c r="F2" t="s">
        <v>696</v>
      </c>
      <c r="G2" t="s">
        <v>697</v>
      </c>
      <c r="O2" t="s">
        <v>693</v>
      </c>
      <c r="P2" t="s">
        <v>694</v>
      </c>
      <c r="Q2" t="s">
        <v>696</v>
      </c>
      <c r="R2" t="s">
        <v>695</v>
      </c>
      <c r="S2" t="s">
        <v>697</v>
      </c>
      <c r="T2" t="s">
        <v>693</v>
      </c>
      <c r="U2" t="s">
        <v>694</v>
      </c>
      <c r="V2" t="s">
        <v>696</v>
      </c>
      <c r="W2" t="s">
        <v>695</v>
      </c>
      <c r="X2" t="s">
        <v>697</v>
      </c>
      <c r="Z2" t="s">
        <v>693</v>
      </c>
      <c r="AA2" t="s">
        <v>694</v>
      </c>
      <c r="AB2" t="s">
        <v>696</v>
      </c>
      <c r="AC2" t="s">
        <v>695</v>
      </c>
      <c r="AD2" t="s">
        <v>697</v>
      </c>
    </row>
    <row r="3" spans="1:30" ht="162" customHeight="1" x14ac:dyDescent="0.15">
      <c r="A3" t="s">
        <v>9</v>
      </c>
      <c r="C3" s="6" t="s">
        <v>765</v>
      </c>
      <c r="D3" s="6"/>
      <c r="E3" s="6"/>
      <c r="F3" s="6"/>
      <c r="N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Z3" t="s">
        <v>766</v>
      </c>
      <c r="AA3" t="s">
        <v>767</v>
      </c>
      <c r="AB3" t="s">
        <v>768</v>
      </c>
      <c r="AC3" t="s">
        <v>769</v>
      </c>
    </row>
    <row r="11" spans="1:30" ht="45" customHeight="1" x14ac:dyDescent="0.15">
      <c r="A11" s="6" t="s">
        <v>15</v>
      </c>
      <c r="B11">
        <v>1</v>
      </c>
      <c r="C11" s="6" t="s">
        <v>286</v>
      </c>
      <c r="D11" s="6" t="s">
        <v>281</v>
      </c>
      <c r="E11" s="6" t="s">
        <v>232</v>
      </c>
      <c r="F11" s="6" t="s">
        <v>138</v>
      </c>
      <c r="G11" s="6"/>
      <c r="H11" t="s">
        <v>770</v>
      </c>
      <c r="M11" t="str">
        <f>IF(TEMPLATE_SPHERE="HEAT",T11,U11)</f>
        <v>Количество поданных заявок</v>
      </c>
      <c r="N1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T11" t="s">
        <v>771</v>
      </c>
      <c r="U11" t="s">
        <v>772</v>
      </c>
      <c r="Z11" t="s">
        <v>773</v>
      </c>
      <c r="AA1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row>
    <row r="12" spans="1:30" ht="45" customHeight="1" x14ac:dyDescent="0.15">
      <c r="A12" s="6"/>
      <c r="B12">
        <v>2</v>
      </c>
      <c r="C12" s="6"/>
      <c r="D12" s="6"/>
      <c r="E12" s="6"/>
      <c r="F12" s="6"/>
      <c r="G12" s="6"/>
      <c r="H12" t="s">
        <v>774</v>
      </c>
      <c r="M12" t="str">
        <f>IF(TEMPLATE_SPHERE="HEAT",T12,U12)</f>
        <v>Количество рассмотренных заявок</v>
      </c>
      <c r="N1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T12" t="s">
        <v>775</v>
      </c>
      <c r="U12" t="s">
        <v>776</v>
      </c>
      <c r="Z12" t="s">
        <v>777</v>
      </c>
      <c r="AA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row>
    <row r="13" spans="1:30" ht="72" customHeight="1" x14ac:dyDescent="0.15">
      <c r="A13" s="6"/>
      <c r="B13">
        <v>3</v>
      </c>
      <c r="C13" s="6"/>
      <c r="D13" s="6"/>
      <c r="E13" s="6"/>
      <c r="F13" s="6"/>
      <c r="G13" s="6"/>
      <c r="H13" s="6" t="s">
        <v>778</v>
      </c>
      <c r="M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t="str">
        <f t="shared" si="0"/>
        <v>Указывается количество заявок с решением об отказе в течение отчетного квартала.</v>
      </c>
      <c r="T13" t="s">
        <v>779</v>
      </c>
      <c r="U13" t="s">
        <v>780</v>
      </c>
      <c r="Z13" t="s">
        <v>781</v>
      </c>
      <c r="AA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row>
    <row r="14" spans="1:30" ht="45" customHeight="1" x14ac:dyDescent="0.15">
      <c r="A14" s="6"/>
      <c r="B14">
        <v>4</v>
      </c>
      <c r="C14" s="6"/>
      <c r="D14" s="6"/>
      <c r="E14" s="6"/>
      <c r="F14" s="6"/>
      <c r="G14" s="6"/>
      <c r="H14" s="6"/>
      <c r="M14" t="str">
        <f>IF(TEMPLATE_SPHERE="HEAT",T14,U14)</f>
        <v>Причины отказа в заключении договора о подключении (технологическом присоединении) к системе теплоснабжения</v>
      </c>
      <c r="N1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4" t="s">
        <v>782</v>
      </c>
      <c r="U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Z14" t="s">
        <v>783</v>
      </c>
      <c r="AA14" t="s">
        <v>783</v>
      </c>
    </row>
    <row r="15" spans="1:30" ht="108" customHeight="1" x14ac:dyDescent="0.15">
      <c r="A15" s="6"/>
      <c r="B15">
        <v>5</v>
      </c>
      <c r="C15" s="6"/>
      <c r="D15" s="6"/>
      <c r="E15" s="6"/>
      <c r="F15" s="6"/>
      <c r="G15" s="6"/>
      <c r="H15" s="6" t="s">
        <v>784</v>
      </c>
      <c r="M15" t="str">
        <f>IF(TEMPLATE_SPHERE="HEAT",T15,U15)</f>
        <v>Резерв мощности источников тепловой энергии, входящих в систему теплоснабжения, в течение одного квартала, в том числе:</v>
      </c>
      <c r="N1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5" t="s">
        <v>785</v>
      </c>
      <c r="U1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Z15" t="s">
        <v>786</v>
      </c>
      <c r="AA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row>
    <row r="16" spans="1:30" ht="108" customHeight="1" x14ac:dyDescent="0.15">
      <c r="B16">
        <v>6</v>
      </c>
      <c r="C16" s="6"/>
      <c r="D16" s="6"/>
      <c r="E16" s="6"/>
      <c r="F16" s="6"/>
      <c r="G16" s="6"/>
      <c r="H16" s="6"/>
      <c r="N1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16" t="s">
        <v>786</v>
      </c>
      <c r="AA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row>
    <row r="17" spans="1:29" ht="9" customHeight="1" x14ac:dyDescent="0.15">
      <c r="C17">
        <v>22</v>
      </c>
      <c r="D17">
        <v>21</v>
      </c>
      <c r="E17">
        <v>42</v>
      </c>
      <c r="F17">
        <v>63</v>
      </c>
    </row>
    <row r="18" spans="1:29" ht="27" customHeight="1" x14ac:dyDescent="0.15">
      <c r="A18" t="s">
        <v>787</v>
      </c>
      <c r="B18">
        <v>1</v>
      </c>
      <c r="C18" t="s">
        <v>770</v>
      </c>
      <c r="D18" t="s">
        <v>770</v>
      </c>
      <c r="E18" t="s">
        <v>770</v>
      </c>
      <c r="F18" t="s">
        <v>770</v>
      </c>
      <c r="I18">
        <f t="shared" ref="I18:I49" si="1">INDEX(TEMPLATE_NUMBER_POINT_FHD,B18,MATCH(TEMPLATE_SPHERE,TEMPLATE_SPHERE_LIST_FOR_NOTE,0))</f>
        <v>1</v>
      </c>
      <c r="J18" t="str">
        <f t="shared" ref="J18:J49" si="2">INDEX(TEMPLATE_DATA_POINT_FHD,B18,MATCH(TEMPLATE_SPHERE,TEMPLATE_SPHERE_LIST_FOR_NOTE,0))</f>
        <v>Выручка от регулируемого вида деятельности с распределением по видам деятельности</v>
      </c>
      <c r="K1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f t="shared" ref="L18:L49" si="4">IF(I18=0,"",I18)</f>
        <v>1</v>
      </c>
      <c r="M18" t="str">
        <f t="shared" ref="M18:M49" si="5">IF(J18=0,"",J18)</f>
        <v>Выручка от регулируемого вида деятельности с распределением по видам деятельности</v>
      </c>
      <c r="N18" t="str">
        <f t="shared" ref="N18:N49" si="6">IF(K18=0,"",K18)</f>
        <v>Указывается выручка от регулируемого вида деятельности с распределением по видам деятельности.</v>
      </c>
      <c r="O18">
        <v>1</v>
      </c>
      <c r="P18">
        <v>1</v>
      </c>
      <c r="Q18">
        <v>1</v>
      </c>
      <c r="R18">
        <v>1</v>
      </c>
      <c r="T18" t="s">
        <v>788</v>
      </c>
      <c r="U18" t="s">
        <v>789</v>
      </c>
      <c r="V18" t="s">
        <v>790</v>
      </c>
      <c r="W18" t="s">
        <v>791</v>
      </c>
      <c r="Z18" t="s">
        <v>792</v>
      </c>
      <c r="AA18" t="s">
        <v>793</v>
      </c>
      <c r="AB18" t="s">
        <v>793</v>
      </c>
      <c r="AC18" t="s">
        <v>793</v>
      </c>
    </row>
    <row r="19" spans="1:29" ht="36" customHeight="1" x14ac:dyDescent="0.15">
      <c r="B19">
        <v>2</v>
      </c>
      <c r="C19" t="s">
        <v>774</v>
      </c>
      <c r="D19" t="s">
        <v>774</v>
      </c>
      <c r="E19" t="s">
        <v>774</v>
      </c>
      <c r="F19" t="s">
        <v>774</v>
      </c>
      <c r="I19">
        <f t="shared" si="1"/>
        <v>2</v>
      </c>
      <c r="J19" t="str">
        <f t="shared" si="2"/>
        <v>Себестоимость производимых товаров (оказываемых услуг) по регулируемому виду деятельности, включая:</v>
      </c>
      <c r="K19" t="str">
        <f t="shared" si="3"/>
        <v>Указывается суммарная себестоимость производимых товаров.</v>
      </c>
      <c r="L19">
        <f t="shared" si="4"/>
        <v>2</v>
      </c>
      <c r="M19" t="str">
        <f t="shared" si="5"/>
        <v>Себестоимость производимых товаров (оказываемых услуг) по регулируемому виду деятельности, включая:</v>
      </c>
      <c r="N19" t="str">
        <f t="shared" si="6"/>
        <v>Указывается суммарная себестоимость производимых товаров.</v>
      </c>
      <c r="O19">
        <v>2</v>
      </c>
      <c r="P19">
        <v>2</v>
      </c>
      <c r="Q19">
        <v>2</v>
      </c>
      <c r="R19">
        <v>2</v>
      </c>
      <c r="T19" t="s">
        <v>794</v>
      </c>
      <c r="U19" t="s">
        <v>795</v>
      </c>
      <c r="V19" t="s">
        <v>796</v>
      </c>
      <c r="W19" t="s">
        <v>797</v>
      </c>
      <c r="Z19" t="s">
        <v>798</v>
      </c>
      <c r="AA19" t="s">
        <v>798</v>
      </c>
      <c r="AB19" t="s">
        <v>798</v>
      </c>
      <c r="AC19" t="s">
        <v>798</v>
      </c>
    </row>
    <row r="20" spans="1:29" ht="27" customHeight="1" x14ac:dyDescent="0.15">
      <c r="B20">
        <v>3</v>
      </c>
      <c r="C20">
        <v>1</v>
      </c>
      <c r="I20" t="str">
        <f t="shared" si="1"/>
        <v>2.1</v>
      </c>
      <c r="J20" t="str">
        <f t="shared" si="2"/>
        <v>Расходы на приобретаемую тепловую энергию (мощность), теплоноситель</v>
      </c>
      <c r="K20">
        <f t="shared" si="3"/>
        <v>0</v>
      </c>
      <c r="L20" t="str">
        <f t="shared" si="4"/>
        <v>2.1</v>
      </c>
      <c r="M20" t="str">
        <f t="shared" si="5"/>
        <v>Расходы на приобретаемую тепловую энергию (мощность), теплоноситель</v>
      </c>
      <c r="N20" t="str">
        <f t="shared" si="6"/>
        <v/>
      </c>
      <c r="O20" t="s">
        <v>799</v>
      </c>
      <c r="P20" t="s">
        <v>799</v>
      </c>
      <c r="Q20" t="s">
        <v>799</v>
      </c>
      <c r="R20" t="s">
        <v>799</v>
      </c>
      <c r="T20" t="s">
        <v>800</v>
      </c>
      <c r="U20" t="s">
        <v>801</v>
      </c>
      <c r="V20" t="s">
        <v>802</v>
      </c>
      <c r="W20" t="s">
        <v>803</v>
      </c>
    </row>
    <row r="21" spans="1:29" ht="36" customHeight="1" x14ac:dyDescent="0.15">
      <c r="B21">
        <v>4</v>
      </c>
      <c r="C21">
        <v>2</v>
      </c>
      <c r="I21" t="str">
        <f t="shared" si="1"/>
        <v>2.2</v>
      </c>
      <c r="J2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t="str">
        <f t="shared" si="3"/>
        <v>Указываются суммарные расходы на приобретение топлива всех видов.</v>
      </c>
      <c r="L21" t="str">
        <f t="shared" si="4"/>
        <v>2.2</v>
      </c>
      <c r="M2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t="str">
        <f t="shared" si="6"/>
        <v>Указываются суммарные расходы на приобретение топлива всех видов.</v>
      </c>
      <c r="O21" t="s">
        <v>600</v>
      </c>
      <c r="T21" t="s">
        <v>804</v>
      </c>
      <c r="Z21" t="s">
        <v>805</v>
      </c>
    </row>
    <row r="22" spans="1:29" ht="36" customHeight="1" x14ac:dyDescent="0.15">
      <c r="B22">
        <v>5</v>
      </c>
      <c r="C22">
        <v>3</v>
      </c>
      <c r="I22">
        <f t="shared" si="1"/>
        <v>0</v>
      </c>
      <c r="J22">
        <f t="shared" si="2"/>
        <v>0</v>
      </c>
      <c r="K22">
        <f t="shared" si="3"/>
        <v>0</v>
      </c>
      <c r="L22" t="str">
        <f t="shared" si="4"/>
        <v/>
      </c>
      <c r="M22" t="str">
        <f t="shared" si="5"/>
        <v/>
      </c>
      <c r="N22" t="str">
        <f t="shared" si="6"/>
        <v/>
      </c>
      <c r="Q22" t="s">
        <v>600</v>
      </c>
      <c r="V22" t="s">
        <v>806</v>
      </c>
    </row>
    <row r="23" spans="1:29" ht="27" customHeight="1" x14ac:dyDescent="0.15">
      <c r="B23">
        <v>6</v>
      </c>
      <c r="C23">
        <v>4</v>
      </c>
      <c r="I23">
        <f t="shared" si="1"/>
        <v>0</v>
      </c>
      <c r="J23">
        <f t="shared" si="2"/>
        <v>0</v>
      </c>
      <c r="K23">
        <f t="shared" si="3"/>
        <v>0</v>
      </c>
      <c r="L23" t="str">
        <f t="shared" si="4"/>
        <v/>
      </c>
      <c r="M23" t="str">
        <f t="shared" si="5"/>
        <v/>
      </c>
      <c r="N23" t="str">
        <f t="shared" si="6"/>
        <v/>
      </c>
      <c r="Q23" t="s">
        <v>603</v>
      </c>
      <c r="V23" t="s">
        <v>807</v>
      </c>
    </row>
    <row r="24" spans="1:29" ht="36" customHeight="1" x14ac:dyDescent="0.15">
      <c r="B24">
        <v>7</v>
      </c>
      <c r="C24">
        <v>5</v>
      </c>
      <c r="I24">
        <f t="shared" si="1"/>
        <v>0</v>
      </c>
      <c r="J24">
        <f t="shared" si="2"/>
        <v>0</v>
      </c>
      <c r="K24">
        <f t="shared" si="3"/>
        <v>0</v>
      </c>
      <c r="L24" t="str">
        <f t="shared" si="4"/>
        <v/>
      </c>
      <c r="M24" t="str">
        <f t="shared" si="5"/>
        <v/>
      </c>
      <c r="N24" t="str">
        <f t="shared" si="6"/>
        <v/>
      </c>
      <c r="Q24" t="s">
        <v>808</v>
      </c>
      <c r="V24" t="s">
        <v>809</v>
      </c>
    </row>
    <row r="25" spans="1:29" ht="36" customHeight="1" x14ac:dyDescent="0.15">
      <c r="B25">
        <v>8</v>
      </c>
      <c r="C25">
        <v>6</v>
      </c>
      <c r="I25" t="str">
        <f t="shared" si="1"/>
        <v>2.3</v>
      </c>
      <c r="J25" t="str">
        <f t="shared" si="2"/>
        <v>Расходы на приобретаемую электрическую энергию (мощность), используемую в технологическом процессе</v>
      </c>
      <c r="K25">
        <f t="shared" si="3"/>
        <v>0</v>
      </c>
      <c r="L25" t="str">
        <f t="shared" si="4"/>
        <v>2.3</v>
      </c>
      <c r="M25" t="str">
        <f t="shared" si="5"/>
        <v>Расходы на приобретаемую электрическую энергию (мощность), используемую в технологическом процессе</v>
      </c>
      <c r="N25" t="str">
        <f t="shared" si="6"/>
        <v/>
      </c>
      <c r="O25" t="s">
        <v>603</v>
      </c>
      <c r="P25" t="s">
        <v>600</v>
      </c>
      <c r="Q25" t="s">
        <v>810</v>
      </c>
      <c r="R25" t="s">
        <v>600</v>
      </c>
      <c r="T25" t="s">
        <v>811</v>
      </c>
      <c r="U25" t="s">
        <v>811</v>
      </c>
      <c r="V25" t="s">
        <v>811</v>
      </c>
      <c r="W25" t="s">
        <v>811</v>
      </c>
    </row>
    <row r="26" spans="1:29" ht="18" customHeight="1" x14ac:dyDescent="0.15">
      <c r="B26">
        <v>9</v>
      </c>
      <c r="C26" t="s">
        <v>812</v>
      </c>
      <c r="I26" t="str">
        <f t="shared" si="1"/>
        <v>2.3.1</v>
      </c>
      <c r="J26" t="str">
        <f t="shared" si="2"/>
        <v>Средневзвешенная стоимость 1 кВт.ч (с учетом мощности)</v>
      </c>
      <c r="K26">
        <f t="shared" si="3"/>
        <v>0</v>
      </c>
      <c r="L26" t="str">
        <f t="shared" si="4"/>
        <v>2.3.1</v>
      </c>
      <c r="M26" t="str">
        <f t="shared" si="5"/>
        <v>Средневзвешенная стоимость 1 кВт.ч (с учетом мощности)</v>
      </c>
      <c r="N26" t="str">
        <f t="shared" si="6"/>
        <v/>
      </c>
      <c r="O26" t="s">
        <v>813</v>
      </c>
      <c r="P26" t="s">
        <v>814</v>
      </c>
      <c r="Q26" t="s">
        <v>815</v>
      </c>
      <c r="R26" t="s">
        <v>814</v>
      </c>
      <c r="T26" t="s">
        <v>816</v>
      </c>
      <c r="U26" t="s">
        <v>816</v>
      </c>
      <c r="V26" t="s">
        <v>816</v>
      </c>
      <c r="W26" t="s">
        <v>816</v>
      </c>
    </row>
    <row r="27" spans="1:29" ht="18" customHeight="1" x14ac:dyDescent="0.15">
      <c r="B27">
        <v>10</v>
      </c>
      <c r="C27" t="s">
        <v>817</v>
      </c>
      <c r="I27" t="str">
        <f t="shared" si="1"/>
        <v>2.3.2</v>
      </c>
      <c r="J27" t="str">
        <f t="shared" si="2"/>
        <v>Объём приобретения электрической энергии</v>
      </c>
      <c r="K27">
        <f t="shared" si="3"/>
        <v>0</v>
      </c>
      <c r="L27" t="str">
        <f t="shared" si="4"/>
        <v>2.3.2</v>
      </c>
      <c r="M27" t="str">
        <f t="shared" si="5"/>
        <v>Объём приобретения электрической энергии</v>
      </c>
      <c r="N27" t="str">
        <f t="shared" si="6"/>
        <v/>
      </c>
      <c r="O27" t="s">
        <v>818</v>
      </c>
      <c r="P27" t="s">
        <v>819</v>
      </c>
      <c r="Q27" t="s">
        <v>820</v>
      </c>
      <c r="R27" t="s">
        <v>819</v>
      </c>
      <c r="T27" t="s">
        <v>821</v>
      </c>
      <c r="U27" t="s">
        <v>821</v>
      </c>
      <c r="V27" t="s">
        <v>821</v>
      </c>
      <c r="W27" t="s">
        <v>821</v>
      </c>
    </row>
    <row r="28" spans="1:29" ht="27" customHeight="1" x14ac:dyDescent="0.15">
      <c r="B28">
        <v>11</v>
      </c>
      <c r="C28">
        <v>7</v>
      </c>
      <c r="I28" t="str">
        <f t="shared" si="1"/>
        <v>2.4</v>
      </c>
      <c r="J28" t="str">
        <f t="shared" si="2"/>
        <v>Расходы на приобретение холодной воды, используемой в технологическом процессе</v>
      </c>
      <c r="K28">
        <f t="shared" si="3"/>
        <v>0</v>
      </c>
      <c r="L28" t="str">
        <f t="shared" si="4"/>
        <v>2.4</v>
      </c>
      <c r="M28" t="str">
        <f t="shared" si="5"/>
        <v>Расходы на приобретение холодной воды, используемой в технологическом процессе</v>
      </c>
      <c r="N28" t="str">
        <f t="shared" si="6"/>
        <v/>
      </c>
      <c r="O28" t="s">
        <v>808</v>
      </c>
      <c r="T28" t="s">
        <v>822</v>
      </c>
    </row>
    <row r="29" spans="1:29" ht="27" customHeight="1" x14ac:dyDescent="0.15">
      <c r="B29">
        <v>12</v>
      </c>
      <c r="C29">
        <v>8</v>
      </c>
      <c r="I29" t="str">
        <f t="shared" si="1"/>
        <v>2.5</v>
      </c>
      <c r="J29" t="str">
        <f t="shared" si="2"/>
        <v>Расходы на химические реагенты, используемые в технологическом процессе</v>
      </c>
      <c r="K29">
        <f t="shared" si="3"/>
        <v>0</v>
      </c>
      <c r="L29" t="str">
        <f t="shared" si="4"/>
        <v>2.5</v>
      </c>
      <c r="M29" t="str">
        <f t="shared" si="5"/>
        <v>Расходы на химические реагенты, используемые в технологическом процессе</v>
      </c>
      <c r="N29" t="str">
        <f t="shared" si="6"/>
        <v/>
      </c>
      <c r="O29" t="s">
        <v>810</v>
      </c>
      <c r="P29" t="s">
        <v>603</v>
      </c>
      <c r="R29" t="s">
        <v>603</v>
      </c>
      <c r="T29" t="s">
        <v>823</v>
      </c>
      <c r="U29" t="s">
        <v>823</v>
      </c>
      <c r="W29" t="s">
        <v>823</v>
      </c>
    </row>
    <row r="30" spans="1:29" ht="54" customHeight="1" x14ac:dyDescent="0.15">
      <c r="B30">
        <v>13</v>
      </c>
      <c r="C30">
        <v>9</v>
      </c>
      <c r="I30" t="str">
        <f t="shared" si="1"/>
        <v>2.6</v>
      </c>
      <c r="J30"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f t="shared" si="3"/>
        <v>0</v>
      </c>
      <c r="L30" t="str">
        <f t="shared" si="4"/>
        <v>2.6</v>
      </c>
      <c r="M3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t="str">
        <f t="shared" si="6"/>
        <v/>
      </c>
      <c r="O30" t="s">
        <v>824</v>
      </c>
      <c r="P30" t="s">
        <v>808</v>
      </c>
      <c r="Q30" t="s">
        <v>824</v>
      </c>
      <c r="R30" t="s">
        <v>808</v>
      </c>
      <c r="T30" t="s">
        <v>825</v>
      </c>
      <c r="U30" t="s">
        <v>825</v>
      </c>
      <c r="V30" t="s">
        <v>825</v>
      </c>
      <c r="W30" t="s">
        <v>825</v>
      </c>
      <c r="AA30" t="s">
        <v>826</v>
      </c>
      <c r="AB30" t="s">
        <v>826</v>
      </c>
      <c r="AC30" t="s">
        <v>826</v>
      </c>
    </row>
    <row r="31" spans="1:29" ht="18" customHeight="1" x14ac:dyDescent="0.15">
      <c r="B31">
        <v>14</v>
      </c>
      <c r="C31" t="s">
        <v>827</v>
      </c>
      <c r="I31" t="str">
        <f t="shared" si="1"/>
        <v>2.6.1</v>
      </c>
      <c r="J31" t="str">
        <f t="shared" si="2"/>
        <v>Расходы на оплату труда основного производственного персонала</v>
      </c>
      <c r="K31">
        <f t="shared" si="3"/>
        <v>0</v>
      </c>
      <c r="L31" t="str">
        <f t="shared" si="4"/>
        <v>2.6.1</v>
      </c>
      <c r="M31" t="str">
        <f t="shared" si="5"/>
        <v>Расходы на оплату труда основного производственного персонала</v>
      </c>
      <c r="N31" t="str">
        <f t="shared" si="6"/>
        <v/>
      </c>
      <c r="O31" t="s">
        <v>828</v>
      </c>
      <c r="P31" t="s">
        <v>829</v>
      </c>
      <c r="Q31" t="s">
        <v>828</v>
      </c>
      <c r="R31" t="s">
        <v>829</v>
      </c>
      <c r="T31" t="s">
        <v>830</v>
      </c>
      <c r="U31" t="s">
        <v>830</v>
      </c>
      <c r="V31" t="s">
        <v>830</v>
      </c>
      <c r="W31" t="s">
        <v>830</v>
      </c>
    </row>
    <row r="32" spans="1:29" ht="36" customHeight="1" x14ac:dyDescent="0.15">
      <c r="B32">
        <v>15</v>
      </c>
      <c r="C32" t="s">
        <v>831</v>
      </c>
      <c r="I32" t="str">
        <f t="shared" si="1"/>
        <v>2.6.2</v>
      </c>
      <c r="J32" t="str">
        <f t="shared" si="2"/>
        <v>Страховые взносы на обязательное социальное страхование, выплачиваемые из фонда оплаты труда основного производственного персонала</v>
      </c>
      <c r="K32">
        <f t="shared" si="3"/>
        <v>0</v>
      </c>
      <c r="L32" t="str">
        <f t="shared" si="4"/>
        <v>2.6.2</v>
      </c>
      <c r="M32" t="str">
        <f t="shared" si="5"/>
        <v>Страховые взносы на обязательное социальное страхование, выплачиваемые из фонда оплаты труда основного производственного персонала</v>
      </c>
      <c r="N32" t="str">
        <f t="shared" si="6"/>
        <v/>
      </c>
      <c r="O32" t="s">
        <v>832</v>
      </c>
      <c r="P32" t="s">
        <v>833</v>
      </c>
      <c r="Q32" t="s">
        <v>832</v>
      </c>
      <c r="R32" t="s">
        <v>833</v>
      </c>
      <c r="T32" t="s">
        <v>834</v>
      </c>
      <c r="U32" t="s">
        <v>834</v>
      </c>
      <c r="V32" t="s">
        <v>834</v>
      </c>
      <c r="W32" t="s">
        <v>834</v>
      </c>
    </row>
    <row r="33" spans="2:29" ht="45" customHeight="1" x14ac:dyDescent="0.15">
      <c r="B33">
        <v>16</v>
      </c>
      <c r="C33">
        <v>10</v>
      </c>
      <c r="I33" t="str">
        <f t="shared" si="1"/>
        <v>2.7</v>
      </c>
      <c r="J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f t="shared" si="3"/>
        <v>0</v>
      </c>
      <c r="L33" t="str">
        <f t="shared" si="4"/>
        <v>2.7</v>
      </c>
      <c r="M3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t="str">
        <f t="shared" si="6"/>
        <v/>
      </c>
      <c r="O33" t="s">
        <v>835</v>
      </c>
      <c r="P33" t="s">
        <v>810</v>
      </c>
      <c r="Q33" t="s">
        <v>835</v>
      </c>
      <c r="R33" t="s">
        <v>810</v>
      </c>
      <c r="T33" t="s">
        <v>836</v>
      </c>
      <c r="U33" t="s">
        <v>836</v>
      </c>
      <c r="V33" t="s">
        <v>836</v>
      </c>
      <c r="W33" t="s">
        <v>837</v>
      </c>
      <c r="AA33" t="s">
        <v>838</v>
      </c>
      <c r="AB33" t="s">
        <v>838</v>
      </c>
      <c r="AC33" t="s">
        <v>838</v>
      </c>
    </row>
    <row r="34" spans="2:29" ht="27" customHeight="1" x14ac:dyDescent="0.15">
      <c r="B34">
        <v>17</v>
      </c>
      <c r="C34" t="s">
        <v>839</v>
      </c>
      <c r="I34" t="str">
        <f t="shared" si="1"/>
        <v>2.7.1</v>
      </c>
      <c r="J34" t="str">
        <f t="shared" si="2"/>
        <v>Расходы на оплату труда административно-управленческого персонала</v>
      </c>
      <c r="K34">
        <f t="shared" si="3"/>
        <v>0</v>
      </c>
      <c r="L34" t="str">
        <f t="shared" si="4"/>
        <v>2.7.1</v>
      </c>
      <c r="M34" t="str">
        <f t="shared" si="5"/>
        <v>Расходы на оплату труда административно-управленческого персонала</v>
      </c>
      <c r="N34" t="str">
        <f t="shared" si="6"/>
        <v/>
      </c>
      <c r="O34" t="s">
        <v>840</v>
      </c>
      <c r="P34" t="s">
        <v>815</v>
      </c>
      <c r="Q34" t="s">
        <v>840</v>
      </c>
      <c r="R34" t="s">
        <v>815</v>
      </c>
      <c r="T34" t="s">
        <v>841</v>
      </c>
      <c r="U34" t="s">
        <v>841</v>
      </c>
      <c r="V34" t="s">
        <v>841</v>
      </c>
      <c r="W34" t="s">
        <v>842</v>
      </c>
    </row>
    <row r="35" spans="2:29" ht="45" customHeight="1" x14ac:dyDescent="0.15">
      <c r="B35">
        <v>18</v>
      </c>
      <c r="C35" t="s">
        <v>843</v>
      </c>
      <c r="I35" t="str">
        <f t="shared" si="1"/>
        <v>2.7.2</v>
      </c>
      <c r="J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f t="shared" si="3"/>
        <v>0</v>
      </c>
      <c r="L35" t="str">
        <f t="shared" si="4"/>
        <v>2.7.2</v>
      </c>
      <c r="M3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t="str">
        <f t="shared" si="6"/>
        <v/>
      </c>
      <c r="O35" t="s">
        <v>844</v>
      </c>
      <c r="P35" t="s">
        <v>820</v>
      </c>
      <c r="Q35" t="s">
        <v>844</v>
      </c>
      <c r="R35" t="s">
        <v>820</v>
      </c>
      <c r="T35" t="s">
        <v>845</v>
      </c>
      <c r="U35" t="s">
        <v>845</v>
      </c>
      <c r="V35" t="s">
        <v>845</v>
      </c>
      <c r="W35" t="s">
        <v>845</v>
      </c>
    </row>
    <row r="36" spans="2:29" ht="18" customHeight="1" x14ac:dyDescent="0.15">
      <c r="B36">
        <v>19</v>
      </c>
      <c r="C36">
        <v>11</v>
      </c>
      <c r="I36" t="str">
        <f t="shared" si="1"/>
        <v>2.8</v>
      </c>
      <c r="J36" t="str">
        <f t="shared" si="2"/>
        <v>Расходы на амортизацию основных средств и нематериальных активов</v>
      </c>
      <c r="K36">
        <f t="shared" si="3"/>
        <v>0</v>
      </c>
      <c r="L36" t="str">
        <f t="shared" si="4"/>
        <v>2.8</v>
      </c>
      <c r="M36" t="str">
        <f t="shared" si="5"/>
        <v>Расходы на амортизацию основных средств и нематериальных активов</v>
      </c>
      <c r="N36" t="str">
        <f t="shared" si="6"/>
        <v/>
      </c>
      <c r="O36" t="s">
        <v>846</v>
      </c>
      <c r="P36" t="s">
        <v>824</v>
      </c>
      <c r="Q36" t="s">
        <v>846</v>
      </c>
      <c r="R36" t="s">
        <v>824</v>
      </c>
      <c r="T36" t="s">
        <v>847</v>
      </c>
      <c r="U36" t="s">
        <v>847</v>
      </c>
      <c r="V36" t="s">
        <v>847</v>
      </c>
      <c r="W36" t="s">
        <v>847</v>
      </c>
    </row>
    <row r="37" spans="2:29" ht="18" customHeight="1" x14ac:dyDescent="0.15">
      <c r="B37">
        <v>20</v>
      </c>
      <c r="C37" t="s">
        <v>848</v>
      </c>
      <c r="I37" t="str">
        <f t="shared" si="1"/>
        <v>2.8.1</v>
      </c>
      <c r="J37" t="str">
        <f t="shared" si="2"/>
        <v>Расходы на амортизацию основных средств</v>
      </c>
      <c r="K37">
        <f t="shared" si="3"/>
        <v>0</v>
      </c>
      <c r="L37" t="str">
        <f t="shared" si="4"/>
        <v>2.8.1</v>
      </c>
      <c r="M37" t="str">
        <f t="shared" si="5"/>
        <v>Расходы на амортизацию основных средств</v>
      </c>
      <c r="N37" t="str">
        <f t="shared" si="6"/>
        <v/>
      </c>
      <c r="O37" t="s">
        <v>849</v>
      </c>
      <c r="P37" t="s">
        <v>828</v>
      </c>
      <c r="Q37" t="s">
        <v>849</v>
      </c>
      <c r="R37" t="s">
        <v>828</v>
      </c>
      <c r="T37" t="s">
        <v>850</v>
      </c>
      <c r="U37" t="s">
        <v>850</v>
      </c>
      <c r="V37" t="s">
        <v>850</v>
      </c>
      <c r="W37" t="s">
        <v>850</v>
      </c>
    </row>
    <row r="38" spans="2:29" ht="18" customHeight="1" x14ac:dyDescent="0.15">
      <c r="B38">
        <v>21</v>
      </c>
      <c r="C38" t="s">
        <v>851</v>
      </c>
      <c r="I38" t="str">
        <f t="shared" si="1"/>
        <v>2.8.2</v>
      </c>
      <c r="J38" t="str">
        <f t="shared" si="2"/>
        <v>Расходы на амортизацию нематериальных активов</v>
      </c>
      <c r="K38">
        <f t="shared" si="3"/>
        <v>0</v>
      </c>
      <c r="L38" t="str">
        <f t="shared" si="4"/>
        <v>2.8.2</v>
      </c>
      <c r="M38" t="str">
        <f t="shared" si="5"/>
        <v>Расходы на амортизацию нематериальных активов</v>
      </c>
      <c r="N38" t="str">
        <f t="shared" si="6"/>
        <v/>
      </c>
      <c r="O38" t="s">
        <v>852</v>
      </c>
      <c r="P38" t="s">
        <v>832</v>
      </c>
      <c r="Q38" t="s">
        <v>852</v>
      </c>
      <c r="R38" t="s">
        <v>832</v>
      </c>
      <c r="T38" t="s">
        <v>853</v>
      </c>
      <c r="U38" t="s">
        <v>853</v>
      </c>
      <c r="V38" t="s">
        <v>853</v>
      </c>
      <c r="W38" t="s">
        <v>853</v>
      </c>
    </row>
    <row r="39" spans="2:29" ht="36" customHeight="1" x14ac:dyDescent="0.15">
      <c r="B39">
        <v>22</v>
      </c>
      <c r="C39">
        <v>12</v>
      </c>
      <c r="I39" t="str">
        <f t="shared" si="1"/>
        <v>2.9</v>
      </c>
      <c r="J39" t="str">
        <f t="shared" si="2"/>
        <v>Расходы на аренду имущества, используемого для осуществления регулируемого вида деятельности</v>
      </c>
      <c r="K39">
        <f t="shared" si="3"/>
        <v>0</v>
      </c>
      <c r="L39" t="str">
        <f t="shared" si="4"/>
        <v>2.9</v>
      </c>
      <c r="M39" t="str">
        <f t="shared" si="5"/>
        <v>Расходы на аренду имущества, используемого для осуществления регулируемого вида деятельности</v>
      </c>
      <c r="N39" t="str">
        <f t="shared" si="6"/>
        <v/>
      </c>
      <c r="O39" t="s">
        <v>854</v>
      </c>
      <c r="P39" t="s">
        <v>835</v>
      </c>
      <c r="Q39" t="s">
        <v>854</v>
      </c>
      <c r="R39" t="s">
        <v>835</v>
      </c>
      <c r="T39" t="s">
        <v>855</v>
      </c>
      <c r="U39" t="s">
        <v>856</v>
      </c>
      <c r="V39" t="s">
        <v>857</v>
      </c>
      <c r="W39" t="s">
        <v>858</v>
      </c>
    </row>
    <row r="40" spans="2:29" ht="18" customHeight="1" x14ac:dyDescent="0.15">
      <c r="B40">
        <v>23</v>
      </c>
      <c r="C40">
        <v>13</v>
      </c>
      <c r="I40" t="str">
        <f t="shared" si="1"/>
        <v>2.10</v>
      </c>
      <c r="J40" t="str">
        <f t="shared" si="2"/>
        <v>Общепроизводственные расходы, в том числе:</v>
      </c>
      <c r="K40" t="str">
        <f t="shared" si="3"/>
        <v>Указывается общая сумма общепроизводственных расходов.</v>
      </c>
      <c r="L40" t="str">
        <f t="shared" si="4"/>
        <v>2.10</v>
      </c>
      <c r="M40" t="str">
        <f t="shared" si="5"/>
        <v>Общепроизводственные расходы, в том числе:</v>
      </c>
      <c r="N40" t="str">
        <f t="shared" si="6"/>
        <v>Указывается общая сумма общепроизводственных расходов.</v>
      </c>
      <c r="O40" t="s">
        <v>859</v>
      </c>
      <c r="P40" t="s">
        <v>846</v>
      </c>
      <c r="Q40" t="s">
        <v>859</v>
      </c>
      <c r="R40" t="s">
        <v>846</v>
      </c>
      <c r="T40" t="s">
        <v>860</v>
      </c>
      <c r="U40" t="s">
        <v>860</v>
      </c>
      <c r="V40" t="s">
        <v>860</v>
      </c>
      <c r="W40" t="s">
        <v>860</v>
      </c>
      <c r="Z40" t="s">
        <v>861</v>
      </c>
      <c r="AA40" t="s">
        <v>861</v>
      </c>
      <c r="AB40" t="s">
        <v>861</v>
      </c>
      <c r="AC40" t="s">
        <v>861</v>
      </c>
    </row>
    <row r="41" spans="2:29" ht="27" customHeight="1" x14ac:dyDescent="0.15">
      <c r="B41">
        <v>24</v>
      </c>
      <c r="C41" t="s">
        <v>862</v>
      </c>
      <c r="I41" t="str">
        <f t="shared" si="1"/>
        <v>2.10.1</v>
      </c>
      <c r="J41" t="str">
        <f t="shared" si="2"/>
        <v>Расходы на текущий ремонт</v>
      </c>
      <c r="K41" t="str">
        <f t="shared" si="3"/>
        <v>Указываются расходы на текущий ремонт, отнесенные к общепроизводственным расходам.</v>
      </c>
      <c r="L41" t="str">
        <f t="shared" si="4"/>
        <v>2.10.1</v>
      </c>
      <c r="M41" t="str">
        <f t="shared" si="5"/>
        <v>Расходы на текущий ремонт</v>
      </c>
      <c r="N41" t="str">
        <f t="shared" si="6"/>
        <v>Указываются расходы на текущий ремонт, отнесенные к общепроизводственным расходам.</v>
      </c>
      <c r="O41" t="s">
        <v>863</v>
      </c>
      <c r="P41" t="s">
        <v>849</v>
      </c>
      <c r="Q41" t="s">
        <v>863</v>
      </c>
      <c r="R41" t="s">
        <v>849</v>
      </c>
      <c r="T41" t="s">
        <v>864</v>
      </c>
      <c r="U41" t="s">
        <v>864</v>
      </c>
      <c r="V41" t="s">
        <v>864</v>
      </c>
      <c r="W41" t="s">
        <v>864</v>
      </c>
      <c r="Z41" t="s">
        <v>865</v>
      </c>
      <c r="AA41" t="s">
        <v>865</v>
      </c>
      <c r="AB41" t="s">
        <v>865</v>
      </c>
      <c r="AC41" t="s">
        <v>865</v>
      </c>
    </row>
    <row r="42" spans="2:29" ht="27" customHeight="1" x14ac:dyDescent="0.15">
      <c r="B42">
        <v>25</v>
      </c>
      <c r="C42" t="s">
        <v>866</v>
      </c>
      <c r="I42" t="str">
        <f t="shared" si="1"/>
        <v>2.10.2</v>
      </c>
      <c r="J42" t="str">
        <f t="shared" si="2"/>
        <v>Расходы на капитальный ремонт</v>
      </c>
      <c r="K42" t="str">
        <f t="shared" si="3"/>
        <v>Указываются расходы на капитальный ремонт, отнесенные к общепроизводственным расходам.</v>
      </c>
      <c r="L42" t="str">
        <f t="shared" si="4"/>
        <v>2.10.2</v>
      </c>
      <c r="M42" t="str">
        <f t="shared" si="5"/>
        <v>Расходы на капитальный ремонт</v>
      </c>
      <c r="N42" t="str">
        <f t="shared" si="6"/>
        <v>Указываются расходы на капитальный ремонт, отнесенные к общепроизводственным расходам.</v>
      </c>
      <c r="O42" t="s">
        <v>867</v>
      </c>
      <c r="P42" t="s">
        <v>852</v>
      </c>
      <c r="Q42" t="s">
        <v>867</v>
      </c>
      <c r="R42" t="s">
        <v>852</v>
      </c>
      <c r="T42" t="s">
        <v>868</v>
      </c>
      <c r="U42" t="s">
        <v>868</v>
      </c>
      <c r="V42" t="s">
        <v>868</v>
      </c>
      <c r="W42" t="s">
        <v>868</v>
      </c>
      <c r="Z42" t="s">
        <v>869</v>
      </c>
      <c r="AA42" t="s">
        <v>869</v>
      </c>
      <c r="AB42" t="s">
        <v>869</v>
      </c>
      <c r="AC42" t="s">
        <v>869</v>
      </c>
    </row>
    <row r="43" spans="2:29" ht="18" customHeight="1" x14ac:dyDescent="0.15">
      <c r="B43">
        <v>26</v>
      </c>
      <c r="C43">
        <v>14</v>
      </c>
      <c r="I43" t="str">
        <f t="shared" si="1"/>
        <v>2.11</v>
      </c>
      <c r="J43" t="str">
        <f t="shared" si="2"/>
        <v>Общехозяйственные расходы, в том числе:</v>
      </c>
      <c r="K43" t="str">
        <f t="shared" si="3"/>
        <v>Указывается общая сумма общехозяйственных расходов.</v>
      </c>
      <c r="L43" t="str">
        <f t="shared" si="4"/>
        <v>2.11</v>
      </c>
      <c r="M43" t="str">
        <f t="shared" si="5"/>
        <v>Общехозяйственные расходы, в том числе:</v>
      </c>
      <c r="N43" t="str">
        <f t="shared" si="6"/>
        <v>Указывается общая сумма общехозяйственных расходов.</v>
      </c>
      <c r="O43" t="s">
        <v>870</v>
      </c>
      <c r="P43" t="s">
        <v>854</v>
      </c>
      <c r="Q43" t="s">
        <v>870</v>
      </c>
      <c r="R43" t="s">
        <v>854</v>
      </c>
      <c r="T43" t="s">
        <v>871</v>
      </c>
      <c r="U43" t="s">
        <v>871</v>
      </c>
      <c r="V43" t="s">
        <v>871</v>
      </c>
      <c r="W43" t="s">
        <v>871</v>
      </c>
      <c r="Z43" t="s">
        <v>872</v>
      </c>
      <c r="AA43" t="s">
        <v>872</v>
      </c>
      <c r="AB43" t="s">
        <v>872</v>
      </c>
      <c r="AC43" t="s">
        <v>872</v>
      </c>
    </row>
    <row r="44" spans="2:29" ht="27" customHeight="1" x14ac:dyDescent="0.15">
      <c r="B44">
        <v>27</v>
      </c>
      <c r="C44" t="s">
        <v>873</v>
      </c>
      <c r="I44" t="str">
        <f t="shared" si="1"/>
        <v>2.11.1</v>
      </c>
      <c r="J44" t="str">
        <f t="shared" si="2"/>
        <v>Расходы на текущий ремонт</v>
      </c>
      <c r="K44" t="str">
        <f t="shared" si="3"/>
        <v>Указываются расходы на текущий ремонт, отнесенные к общехозяйственным расходам.</v>
      </c>
      <c r="L44" t="str">
        <f t="shared" si="4"/>
        <v>2.11.1</v>
      </c>
      <c r="M44" t="str">
        <f t="shared" si="5"/>
        <v>Расходы на текущий ремонт</v>
      </c>
      <c r="N44" t="str">
        <f t="shared" si="6"/>
        <v>Указываются расходы на текущий ремонт, отнесенные к общехозяйственным расходам.</v>
      </c>
      <c r="O44" t="s">
        <v>874</v>
      </c>
      <c r="P44" t="s">
        <v>875</v>
      </c>
      <c r="Q44" t="s">
        <v>874</v>
      </c>
      <c r="R44" t="s">
        <v>875</v>
      </c>
      <c r="T44" t="s">
        <v>864</v>
      </c>
      <c r="U44" t="s">
        <v>864</v>
      </c>
      <c r="V44" t="s">
        <v>864</v>
      </c>
      <c r="W44" t="s">
        <v>864</v>
      </c>
      <c r="Z44" t="s">
        <v>876</v>
      </c>
      <c r="AA44" t="s">
        <v>876</v>
      </c>
      <c r="AB44" t="s">
        <v>876</v>
      </c>
      <c r="AC44" t="s">
        <v>876</v>
      </c>
    </row>
    <row r="45" spans="2:29" ht="27" customHeight="1" x14ac:dyDescent="0.15">
      <c r="B45">
        <v>28</v>
      </c>
      <c r="C45" t="s">
        <v>877</v>
      </c>
      <c r="I45" t="str">
        <f t="shared" si="1"/>
        <v>2.11.2</v>
      </c>
      <c r="J45" t="str">
        <f t="shared" si="2"/>
        <v>Расходы на капитальный ремонт</v>
      </c>
      <c r="K45" t="str">
        <f t="shared" si="3"/>
        <v>Указываются расходы на капитальный ремонт, отнесенные к общехозяйственным расходам.</v>
      </c>
      <c r="L45" t="str">
        <f t="shared" si="4"/>
        <v>2.11.2</v>
      </c>
      <c r="M45" t="str">
        <f t="shared" si="5"/>
        <v>Расходы на капитальный ремонт</v>
      </c>
      <c r="N45" t="str">
        <f t="shared" si="6"/>
        <v>Указываются расходы на капитальный ремонт, отнесенные к общехозяйственным расходам.</v>
      </c>
      <c r="O45" t="s">
        <v>878</v>
      </c>
      <c r="P45" t="s">
        <v>879</v>
      </c>
      <c r="Q45" t="s">
        <v>878</v>
      </c>
      <c r="R45" t="s">
        <v>879</v>
      </c>
      <c r="T45" t="s">
        <v>868</v>
      </c>
      <c r="U45" t="s">
        <v>868</v>
      </c>
      <c r="V45" t="s">
        <v>868</v>
      </c>
      <c r="W45" t="s">
        <v>868</v>
      </c>
      <c r="Z45" t="s">
        <v>880</v>
      </c>
      <c r="AA45" t="s">
        <v>880</v>
      </c>
      <c r="AB45" t="s">
        <v>880</v>
      </c>
      <c r="AC45" t="s">
        <v>880</v>
      </c>
    </row>
    <row r="46" spans="2:29" ht="54" customHeight="1" x14ac:dyDescent="0.15">
      <c r="B46">
        <v>29</v>
      </c>
      <c r="C46">
        <v>15</v>
      </c>
      <c r="I46" t="str">
        <f t="shared" si="1"/>
        <v>2.12</v>
      </c>
      <c r="J46" t="str">
        <f t="shared" si="2"/>
        <v>Расходы на капитальный и текущий ремонт основных средств</v>
      </c>
      <c r="K4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t="str">
        <f t="shared" si="4"/>
        <v>2.12</v>
      </c>
      <c r="M46" t="str">
        <f t="shared" si="5"/>
        <v>Расходы на капитальный и текущий ремонт основных средств</v>
      </c>
      <c r="N46"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t="s">
        <v>881</v>
      </c>
      <c r="P46" t="s">
        <v>859</v>
      </c>
      <c r="Q46" t="s">
        <v>881</v>
      </c>
      <c r="R46" t="s">
        <v>859</v>
      </c>
      <c r="T46" t="s">
        <v>882</v>
      </c>
      <c r="U46" t="s">
        <v>882</v>
      </c>
      <c r="V46" t="s">
        <v>882</v>
      </c>
      <c r="W46" t="s">
        <v>882</v>
      </c>
      <c r="Z46" t="s">
        <v>883</v>
      </c>
      <c r="AA46" t="s">
        <v>884</v>
      </c>
      <c r="AB46" t="s">
        <v>884</v>
      </c>
      <c r="AC46" t="s">
        <v>884</v>
      </c>
    </row>
    <row r="47" spans="2:29" ht="54" customHeight="1" x14ac:dyDescent="0.15">
      <c r="B47">
        <v>30</v>
      </c>
      <c r="C47" t="s">
        <v>885</v>
      </c>
      <c r="I47" t="str">
        <f t="shared" si="1"/>
        <v>2.12.1</v>
      </c>
      <c r="J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f t="shared" si="3"/>
        <v>0</v>
      </c>
      <c r="L47" t="str">
        <f t="shared" si="4"/>
        <v>2.12.1</v>
      </c>
      <c r="M4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t="str">
        <f t="shared" si="6"/>
        <v/>
      </c>
      <c r="O47" t="s">
        <v>886</v>
      </c>
      <c r="P47" t="s">
        <v>863</v>
      </c>
      <c r="Q47" t="s">
        <v>886</v>
      </c>
      <c r="R47" t="s">
        <v>863</v>
      </c>
      <c r="T47" t="s">
        <v>887</v>
      </c>
      <c r="U47" t="s">
        <v>887</v>
      </c>
      <c r="V47" t="s">
        <v>887</v>
      </c>
      <c r="W47" t="s">
        <v>887</v>
      </c>
    </row>
    <row r="48" spans="2:29" ht="54" customHeight="1" x14ac:dyDescent="0.15">
      <c r="B48">
        <v>31</v>
      </c>
      <c r="C48">
        <v>16</v>
      </c>
      <c r="I48">
        <f t="shared" si="1"/>
        <v>0</v>
      </c>
      <c r="J48">
        <f t="shared" si="2"/>
        <v>0</v>
      </c>
      <c r="K48">
        <f t="shared" si="3"/>
        <v>0</v>
      </c>
      <c r="L48" t="str">
        <f t="shared" si="4"/>
        <v/>
      </c>
      <c r="M48" t="str">
        <f t="shared" si="5"/>
        <v/>
      </c>
      <c r="N48" t="str">
        <f t="shared" si="6"/>
        <v/>
      </c>
      <c r="P48" t="s">
        <v>870</v>
      </c>
      <c r="Q48" t="s">
        <v>888</v>
      </c>
      <c r="R48" t="s">
        <v>870</v>
      </c>
      <c r="U48" t="s">
        <v>889</v>
      </c>
      <c r="V48" t="s">
        <v>890</v>
      </c>
      <c r="W48" t="s">
        <v>890</v>
      </c>
      <c r="AA48" t="s">
        <v>884</v>
      </c>
      <c r="AB48" t="s">
        <v>884</v>
      </c>
      <c r="AC48" t="s">
        <v>884</v>
      </c>
    </row>
    <row r="49" spans="2:29" ht="54" customHeight="1" x14ac:dyDescent="0.15">
      <c r="B49">
        <v>32</v>
      </c>
      <c r="C49" t="s">
        <v>891</v>
      </c>
      <c r="I49">
        <f t="shared" si="1"/>
        <v>0</v>
      </c>
      <c r="J49">
        <f t="shared" si="2"/>
        <v>0</v>
      </c>
      <c r="K49">
        <f t="shared" si="3"/>
        <v>0</v>
      </c>
      <c r="L49" t="str">
        <f t="shared" si="4"/>
        <v/>
      </c>
      <c r="M49" t="str">
        <f t="shared" si="5"/>
        <v/>
      </c>
      <c r="N49" t="str">
        <f t="shared" si="6"/>
        <v/>
      </c>
      <c r="P49" t="s">
        <v>874</v>
      </c>
      <c r="Q49" t="s">
        <v>892</v>
      </c>
      <c r="R49" t="s">
        <v>874</v>
      </c>
      <c r="U49" t="s">
        <v>887</v>
      </c>
      <c r="V49" t="s">
        <v>887</v>
      </c>
      <c r="W49" t="s">
        <v>887</v>
      </c>
    </row>
    <row r="50" spans="2:29" ht="126" customHeight="1" x14ac:dyDescent="0.15">
      <c r="B50">
        <v>33</v>
      </c>
      <c r="C50">
        <v>17</v>
      </c>
      <c r="I50" t="str">
        <f t="shared" ref="I50:I81" si="7">INDEX(TEMPLATE_NUMBER_POINT_FHD,B50,MATCH(TEMPLATE_SPHERE,TEMPLATE_SPHERE_LIST_FOR_NOTE,0))</f>
        <v>2.13</v>
      </c>
      <c r="J50"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t="str">
        <f t="shared" ref="L50:L81" si="10">IF(I50=0,"",I50)</f>
        <v>2.13</v>
      </c>
      <c r="M5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t="s">
        <v>888</v>
      </c>
      <c r="P50" t="s">
        <v>881</v>
      </c>
      <c r="Q50" t="s">
        <v>893</v>
      </c>
      <c r="R50" t="s">
        <v>881</v>
      </c>
      <c r="T50" t="s">
        <v>894</v>
      </c>
      <c r="U50" t="s">
        <v>895</v>
      </c>
      <c r="V50" t="s">
        <v>896</v>
      </c>
      <c r="W50" t="s">
        <v>897</v>
      </c>
      <c r="Z50" t="s">
        <v>898</v>
      </c>
      <c r="AA50" t="s">
        <v>899</v>
      </c>
      <c r="AB50" t="s">
        <v>899</v>
      </c>
      <c r="AC50" t="s">
        <v>899</v>
      </c>
    </row>
    <row r="51" spans="2:29" ht="27" customHeight="1" x14ac:dyDescent="0.15">
      <c r="B51">
        <v>34</v>
      </c>
      <c r="C51" t="s">
        <v>900</v>
      </c>
      <c r="I51" t="str">
        <f t="shared" si="7"/>
        <v>3</v>
      </c>
      <c r="J51" t="str">
        <f t="shared" si="8"/>
        <v>Валовая прибыль (убытки) от реализации товаров и оказания услуг по регулируемому виду деятельности</v>
      </c>
      <c r="K51">
        <f t="shared" si="9"/>
        <v>0</v>
      </c>
      <c r="L51" t="str">
        <f t="shared" si="10"/>
        <v>3</v>
      </c>
      <c r="M51" t="str">
        <f t="shared" si="11"/>
        <v>Валовая прибыль (убытки) от реализации товаров и оказания услуг по регулируемому виду деятельности</v>
      </c>
      <c r="N51" t="str">
        <f t="shared" si="12"/>
        <v/>
      </c>
      <c r="O51" t="s">
        <v>77</v>
      </c>
      <c r="T51" t="s">
        <v>901</v>
      </c>
    </row>
    <row r="52" spans="2:29" ht="36" customHeight="1" x14ac:dyDescent="0.15">
      <c r="B52">
        <v>35</v>
      </c>
      <c r="C52" t="s">
        <v>778</v>
      </c>
      <c r="D52" t="s">
        <v>778</v>
      </c>
      <c r="E52" t="s">
        <v>778</v>
      </c>
      <c r="F52" t="s">
        <v>778</v>
      </c>
      <c r="I52" t="str">
        <f t="shared" si="7"/>
        <v>4</v>
      </c>
      <c r="J52" t="str">
        <f t="shared" si="8"/>
        <v>Чистая прибыль, полученная от регулируемого вида деятельности, в том числе:</v>
      </c>
      <c r="K52" t="str">
        <f t="shared" si="9"/>
        <v>Указывается общая сумма чистой прибыли, полученной от регулируемого вида деятельности.</v>
      </c>
      <c r="L52" t="str">
        <f t="shared" si="10"/>
        <v>4</v>
      </c>
      <c r="M52" t="str">
        <f t="shared" si="11"/>
        <v>Чистая прибыль, полученная от регулируемого вида деятельности, в том числе:</v>
      </c>
      <c r="N52" t="str">
        <f t="shared" si="12"/>
        <v>Указывается общая сумма чистой прибыли, полученной от регулируемого вида деятельности.</v>
      </c>
      <c r="O52" t="s">
        <v>78</v>
      </c>
      <c r="P52" t="s">
        <v>77</v>
      </c>
      <c r="Q52" t="s">
        <v>77</v>
      </c>
      <c r="R52" t="s">
        <v>77</v>
      </c>
      <c r="T52" t="s">
        <v>902</v>
      </c>
      <c r="U52" t="s">
        <v>903</v>
      </c>
      <c r="V52" t="s">
        <v>904</v>
      </c>
      <c r="W52" t="s">
        <v>905</v>
      </c>
      <c r="Z52" t="s">
        <v>906</v>
      </c>
      <c r="AA52" t="s">
        <v>906</v>
      </c>
      <c r="AB52" t="s">
        <v>906</v>
      </c>
      <c r="AC52" t="s">
        <v>906</v>
      </c>
    </row>
    <row r="53" spans="2:29" ht="36" customHeight="1" x14ac:dyDescent="0.15">
      <c r="B53">
        <v>36</v>
      </c>
      <c r="C53">
        <v>1</v>
      </c>
      <c r="I53" t="str">
        <f t="shared" si="7"/>
        <v>4.1</v>
      </c>
      <c r="J5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f t="shared" si="9"/>
        <v>0</v>
      </c>
      <c r="L53" t="str">
        <f t="shared" si="10"/>
        <v>4.1</v>
      </c>
      <c r="M5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t="str">
        <f t="shared" si="12"/>
        <v/>
      </c>
      <c r="O53" t="s">
        <v>907</v>
      </c>
      <c r="P53" t="s">
        <v>619</v>
      </c>
      <c r="Q53" t="s">
        <v>619</v>
      </c>
      <c r="R53" t="s">
        <v>619</v>
      </c>
      <c r="T53" t="s">
        <v>908</v>
      </c>
      <c r="U53" t="s">
        <v>908</v>
      </c>
      <c r="V53" t="s">
        <v>908</v>
      </c>
      <c r="W53" t="s">
        <v>908</v>
      </c>
    </row>
    <row r="54" spans="2:29" ht="18" customHeight="1" x14ac:dyDescent="0.15">
      <c r="B54">
        <v>37</v>
      </c>
      <c r="C54" t="s">
        <v>784</v>
      </c>
      <c r="D54" t="s">
        <v>784</v>
      </c>
      <c r="E54" t="s">
        <v>784</v>
      </c>
      <c r="F54" t="s">
        <v>784</v>
      </c>
      <c r="I54" t="str">
        <f t="shared" si="7"/>
        <v>5</v>
      </c>
      <c r="J54" t="str">
        <f t="shared" si="8"/>
        <v>Изменение стоимости основных фондов, в том числе:</v>
      </c>
      <c r="K54" t="str">
        <f t="shared" si="9"/>
        <v>Указывается общее изменение стоимости основных фондов.</v>
      </c>
      <c r="L54" t="str">
        <f t="shared" si="10"/>
        <v>5</v>
      </c>
      <c r="M54" t="str">
        <f t="shared" si="11"/>
        <v>Изменение стоимости основных фондов, в том числе:</v>
      </c>
      <c r="N54" t="str">
        <f t="shared" si="12"/>
        <v>Указывается общее изменение стоимости основных фондов.</v>
      </c>
      <c r="O54" t="s">
        <v>100</v>
      </c>
      <c r="P54" t="s">
        <v>78</v>
      </c>
      <c r="Q54" t="s">
        <v>78</v>
      </c>
      <c r="R54" t="s">
        <v>78</v>
      </c>
      <c r="T54" t="s">
        <v>909</v>
      </c>
      <c r="U54" t="s">
        <v>909</v>
      </c>
      <c r="V54" t="s">
        <v>909</v>
      </c>
      <c r="W54" t="s">
        <v>909</v>
      </c>
      <c r="Z54" t="s">
        <v>910</v>
      </c>
      <c r="AA54" t="s">
        <v>910</v>
      </c>
      <c r="AB54" t="s">
        <v>910</v>
      </c>
      <c r="AC54" t="s">
        <v>910</v>
      </c>
    </row>
    <row r="55" spans="2:29" ht="36" customHeight="1" x14ac:dyDescent="0.15">
      <c r="B55">
        <v>38</v>
      </c>
      <c r="C55">
        <v>1</v>
      </c>
      <c r="I55" t="str">
        <f t="shared" si="7"/>
        <v>5.1</v>
      </c>
      <c r="J55" t="str">
        <f t="shared" si="8"/>
        <v>Изменение стоимости основных фондов за счет:</v>
      </c>
      <c r="K55" t="str">
        <f t="shared" si="9"/>
        <v>Указываются общее изменение стоимости основных фондов за счет их ввода в эксплуатацию и вывода из эксплуатации.</v>
      </c>
      <c r="L55" t="str">
        <f t="shared" si="10"/>
        <v>5.1</v>
      </c>
      <c r="M55" t="str">
        <f t="shared" si="11"/>
        <v>Изменение стоимости основных фондов за счет:</v>
      </c>
      <c r="N55" t="str">
        <f t="shared" si="12"/>
        <v>Указываются общее изменение стоимости основных фондов за счет их ввода в эксплуатацию и вывода из эксплуатации.</v>
      </c>
      <c r="O55" t="s">
        <v>608</v>
      </c>
      <c r="P55" t="s">
        <v>907</v>
      </c>
      <c r="Q55" t="s">
        <v>907</v>
      </c>
      <c r="R55" t="s">
        <v>907</v>
      </c>
      <c r="T55" t="s">
        <v>911</v>
      </c>
      <c r="U55" t="s">
        <v>912</v>
      </c>
      <c r="V55" t="s">
        <v>912</v>
      </c>
      <c r="W55" t="s">
        <v>912</v>
      </c>
      <c r="Z55" t="s">
        <v>913</v>
      </c>
      <c r="AA55" t="s">
        <v>913</v>
      </c>
      <c r="AB55" t="s">
        <v>913</v>
      </c>
      <c r="AC55" t="s">
        <v>913</v>
      </c>
    </row>
    <row r="56" spans="2:29" ht="27" customHeight="1" x14ac:dyDescent="0.15">
      <c r="B56">
        <v>39</v>
      </c>
      <c r="C56" t="s">
        <v>914</v>
      </c>
      <c r="I56" t="str">
        <f t="shared" si="7"/>
        <v>5.1.1</v>
      </c>
      <c r="J56" t="str">
        <f t="shared" si="8"/>
        <v>Изменения стоимости основных фондов за счет их ввода в эксплуатацию</v>
      </c>
      <c r="K56" t="str">
        <f t="shared" si="9"/>
        <v>Указываются изменение стоимости основных фондов за счет их ввода в эксплуатацию.</v>
      </c>
      <c r="L56" t="str">
        <f t="shared" si="10"/>
        <v>5.1.1</v>
      </c>
      <c r="M56" t="str">
        <f t="shared" si="11"/>
        <v>Изменения стоимости основных фондов за счет их ввода в эксплуатацию</v>
      </c>
      <c r="N56" t="str">
        <f t="shared" si="12"/>
        <v>Указываются изменение стоимости основных фондов за счет их ввода в эксплуатацию.</v>
      </c>
      <c r="O56" t="s">
        <v>915</v>
      </c>
      <c r="P56" t="s">
        <v>916</v>
      </c>
      <c r="Q56" t="s">
        <v>916</v>
      </c>
      <c r="R56" t="s">
        <v>916</v>
      </c>
      <c r="T56" t="s">
        <v>917</v>
      </c>
      <c r="U56" t="s">
        <v>918</v>
      </c>
      <c r="V56" t="s">
        <v>918</v>
      </c>
      <c r="W56" t="s">
        <v>918</v>
      </c>
      <c r="Z56" t="s">
        <v>919</v>
      </c>
      <c r="AA56" t="s">
        <v>919</v>
      </c>
      <c r="AB56" t="s">
        <v>919</v>
      </c>
      <c r="AC56" t="s">
        <v>919</v>
      </c>
    </row>
    <row r="57" spans="2:29" ht="27" customHeight="1" x14ac:dyDescent="0.15">
      <c r="B57">
        <v>40</v>
      </c>
      <c r="C57" t="s">
        <v>920</v>
      </c>
      <c r="I57" t="str">
        <f t="shared" si="7"/>
        <v>5.1.2</v>
      </c>
      <c r="J57" t="str">
        <f t="shared" si="8"/>
        <v>Изменения стоимости основных фондов за счет их вывода в эксплуатацию</v>
      </c>
      <c r="K57" t="str">
        <f t="shared" si="9"/>
        <v>Указываются изменение стоимости основных фондов за счет их вывода из эксплуатации.</v>
      </c>
      <c r="L57" t="str">
        <f t="shared" si="10"/>
        <v>5.1.2</v>
      </c>
      <c r="M57" t="str">
        <f t="shared" si="11"/>
        <v>Изменения стоимости основных фондов за счет их вывода в эксплуатацию</v>
      </c>
      <c r="N57" t="str">
        <f t="shared" si="12"/>
        <v>Указываются изменение стоимости основных фондов за счет их вывода из эксплуатации.</v>
      </c>
      <c r="O57" t="s">
        <v>921</v>
      </c>
      <c r="P57" t="s">
        <v>922</v>
      </c>
      <c r="Q57" t="s">
        <v>922</v>
      </c>
      <c r="R57" t="s">
        <v>922</v>
      </c>
      <c r="T57" t="s">
        <v>923</v>
      </c>
      <c r="U57" t="s">
        <v>924</v>
      </c>
      <c r="V57" t="s">
        <v>924</v>
      </c>
      <c r="W57" t="s">
        <v>924</v>
      </c>
      <c r="Z57" t="s">
        <v>925</v>
      </c>
      <c r="AA57" t="s">
        <v>925</v>
      </c>
      <c r="AB57" t="s">
        <v>925</v>
      </c>
      <c r="AC57" t="s">
        <v>925</v>
      </c>
    </row>
    <row r="58" spans="2:29" ht="18" customHeight="1" x14ac:dyDescent="0.15">
      <c r="B58">
        <v>41</v>
      </c>
      <c r="C58">
        <v>2</v>
      </c>
      <c r="I58" t="str">
        <f t="shared" si="7"/>
        <v>5.2</v>
      </c>
      <c r="J58" t="str">
        <f t="shared" si="8"/>
        <v>Изменение стоимости основных фондов за счет их переоценки</v>
      </c>
      <c r="K58">
        <f t="shared" si="9"/>
        <v>0</v>
      </c>
      <c r="L58" t="str">
        <f t="shared" si="10"/>
        <v>5.2</v>
      </c>
      <c r="M58" t="str">
        <f t="shared" si="11"/>
        <v>Изменение стоимости основных фондов за счет их переоценки</v>
      </c>
      <c r="N58" t="str">
        <f t="shared" si="12"/>
        <v/>
      </c>
      <c r="O58" t="s">
        <v>610</v>
      </c>
      <c r="P58" t="s">
        <v>926</v>
      </c>
      <c r="Q58" t="s">
        <v>926</v>
      </c>
      <c r="R58" t="s">
        <v>926</v>
      </c>
      <c r="T58" t="s">
        <v>927</v>
      </c>
      <c r="U58" t="s">
        <v>927</v>
      </c>
      <c r="V58" t="s">
        <v>927</v>
      </c>
      <c r="W58" t="s">
        <v>927</v>
      </c>
    </row>
    <row r="59" spans="2:29" ht="36" customHeight="1" x14ac:dyDescent="0.15">
      <c r="B59">
        <v>42</v>
      </c>
      <c r="C59">
        <v>3</v>
      </c>
      <c r="D59" t="s">
        <v>900</v>
      </c>
      <c r="E59" t="s">
        <v>900</v>
      </c>
      <c r="F59" t="s">
        <v>900</v>
      </c>
      <c r="I59">
        <f t="shared" si="7"/>
        <v>0</v>
      </c>
      <c r="J59">
        <f t="shared" si="8"/>
        <v>0</v>
      </c>
      <c r="K59">
        <f t="shared" si="9"/>
        <v>0</v>
      </c>
      <c r="L59" t="str">
        <f t="shared" si="10"/>
        <v/>
      </c>
      <c r="M59" t="str">
        <f t="shared" si="11"/>
        <v/>
      </c>
      <c r="N59" t="str">
        <f t="shared" si="12"/>
        <v/>
      </c>
      <c r="P59" t="s">
        <v>100</v>
      </c>
      <c r="Q59" t="s">
        <v>100</v>
      </c>
      <c r="R59" t="s">
        <v>100</v>
      </c>
      <c r="U59" t="s">
        <v>928</v>
      </c>
      <c r="V59" t="s">
        <v>929</v>
      </c>
      <c r="W59" t="s">
        <v>930</v>
      </c>
    </row>
    <row r="60" spans="2:29" ht="81" customHeight="1" x14ac:dyDescent="0.15">
      <c r="B60">
        <v>43</v>
      </c>
      <c r="C60" t="s">
        <v>931</v>
      </c>
      <c r="D60" t="s">
        <v>931</v>
      </c>
      <c r="E60" t="s">
        <v>931</v>
      </c>
      <c r="F60" t="s">
        <v>931</v>
      </c>
      <c r="I60" t="str">
        <f t="shared" si="7"/>
        <v>6</v>
      </c>
      <c r="J60" t="str">
        <f t="shared" si="8"/>
        <v>Годовая бухгалтерская (финансовая) отчетность, включая бухгалтерский баланс и приложения к нему</v>
      </c>
      <c r="K60"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t="str">
        <f t="shared" si="10"/>
        <v>6</v>
      </c>
      <c r="M60" t="str">
        <f t="shared" si="11"/>
        <v>Годовая бухгалтерская (финансовая) отчетность, включая бухгалтерский баланс и приложения к нему</v>
      </c>
      <c r="N6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t="s">
        <v>79</v>
      </c>
      <c r="P60" t="s">
        <v>79</v>
      </c>
      <c r="Q60" t="s">
        <v>79</v>
      </c>
      <c r="R60" t="s">
        <v>79</v>
      </c>
      <c r="T60" t="s">
        <v>932</v>
      </c>
      <c r="U60" t="s">
        <v>932</v>
      </c>
      <c r="V60" t="s">
        <v>932</v>
      </c>
      <c r="W60" t="s">
        <v>932</v>
      </c>
      <c r="Z60" t="s">
        <v>933</v>
      </c>
      <c r="AA60" t="s">
        <v>934</v>
      </c>
      <c r="AB60" t="s">
        <v>935</v>
      </c>
      <c r="AC60" t="s">
        <v>934</v>
      </c>
    </row>
    <row r="61" spans="2:29" ht="9" customHeight="1" x14ac:dyDescent="0.15">
      <c r="B61">
        <v>44</v>
      </c>
      <c r="D61" t="s">
        <v>936</v>
      </c>
      <c r="I61">
        <f t="shared" si="7"/>
        <v>0</v>
      </c>
      <c r="J61">
        <f t="shared" si="8"/>
        <v>0</v>
      </c>
      <c r="K61">
        <f t="shared" si="9"/>
        <v>0</v>
      </c>
      <c r="L61" t="str">
        <f t="shared" si="10"/>
        <v/>
      </c>
      <c r="M61" t="str">
        <f t="shared" si="11"/>
        <v/>
      </c>
      <c r="N61" t="str">
        <f t="shared" si="12"/>
        <v/>
      </c>
      <c r="P61" t="s">
        <v>80</v>
      </c>
      <c r="U61" t="s">
        <v>937</v>
      </c>
    </row>
    <row r="62" spans="2:29" ht="9" customHeight="1" x14ac:dyDescent="0.15">
      <c r="B62">
        <v>45</v>
      </c>
      <c r="D62" t="s">
        <v>938</v>
      </c>
      <c r="I62">
        <f t="shared" si="7"/>
        <v>0</v>
      </c>
      <c r="J62">
        <f t="shared" si="8"/>
        <v>0</v>
      </c>
      <c r="K62">
        <f t="shared" si="9"/>
        <v>0</v>
      </c>
      <c r="L62" t="str">
        <f t="shared" si="10"/>
        <v/>
      </c>
      <c r="M62" t="str">
        <f t="shared" si="11"/>
        <v/>
      </c>
      <c r="N62" t="str">
        <f t="shared" si="12"/>
        <v/>
      </c>
      <c r="P62" t="s">
        <v>102</v>
      </c>
      <c r="U62" t="s">
        <v>939</v>
      </c>
    </row>
    <row r="63" spans="2:29" ht="18" customHeight="1" x14ac:dyDescent="0.15">
      <c r="B63">
        <v>46</v>
      </c>
      <c r="D63" t="s">
        <v>940</v>
      </c>
      <c r="I63">
        <f t="shared" si="7"/>
        <v>0</v>
      </c>
      <c r="J63">
        <f t="shared" si="8"/>
        <v>0</v>
      </c>
      <c r="K63">
        <f t="shared" si="9"/>
        <v>0</v>
      </c>
      <c r="L63" t="str">
        <f t="shared" si="10"/>
        <v/>
      </c>
      <c r="M63" t="str">
        <f t="shared" si="11"/>
        <v/>
      </c>
      <c r="N63" t="str">
        <f t="shared" si="12"/>
        <v/>
      </c>
      <c r="P63" t="s">
        <v>133</v>
      </c>
      <c r="U63" t="s">
        <v>941</v>
      </c>
    </row>
    <row r="64" spans="2:29" ht="18" customHeight="1" x14ac:dyDescent="0.15">
      <c r="B64">
        <v>47</v>
      </c>
      <c r="D64" t="s">
        <v>942</v>
      </c>
      <c r="I64">
        <f t="shared" si="7"/>
        <v>0</v>
      </c>
      <c r="J64">
        <f t="shared" si="8"/>
        <v>0</v>
      </c>
      <c r="K64">
        <f t="shared" si="9"/>
        <v>0</v>
      </c>
      <c r="L64" t="str">
        <f t="shared" si="10"/>
        <v/>
      </c>
      <c r="M64" t="str">
        <f t="shared" si="11"/>
        <v/>
      </c>
      <c r="N64" t="str">
        <f t="shared" si="12"/>
        <v/>
      </c>
      <c r="P64" t="s">
        <v>106</v>
      </c>
      <c r="U64" t="s">
        <v>943</v>
      </c>
      <c r="AA64" t="s">
        <v>944</v>
      </c>
    </row>
    <row r="65" spans="2:26" ht="18" customHeight="1" x14ac:dyDescent="0.15">
      <c r="B65">
        <v>48</v>
      </c>
      <c r="I65">
        <f t="shared" si="7"/>
        <v>0</v>
      </c>
      <c r="J65">
        <f t="shared" si="8"/>
        <v>0</v>
      </c>
      <c r="K65">
        <f t="shared" si="9"/>
        <v>0</v>
      </c>
      <c r="L65" t="str">
        <f t="shared" si="10"/>
        <v/>
      </c>
      <c r="M65" t="str">
        <f t="shared" si="11"/>
        <v/>
      </c>
      <c r="N65" t="str">
        <f t="shared" si="12"/>
        <v/>
      </c>
      <c r="P65" t="s">
        <v>839</v>
      </c>
      <c r="U65" t="s">
        <v>945</v>
      </c>
    </row>
    <row r="66" spans="2:26" ht="18" customHeight="1" x14ac:dyDescent="0.15">
      <c r="B66">
        <v>49</v>
      </c>
      <c r="I66">
        <f t="shared" si="7"/>
        <v>0</v>
      </c>
      <c r="J66">
        <f t="shared" si="8"/>
        <v>0</v>
      </c>
      <c r="K66">
        <f t="shared" si="9"/>
        <v>0</v>
      </c>
      <c r="L66" t="str">
        <f t="shared" si="10"/>
        <v/>
      </c>
      <c r="M66" t="str">
        <f t="shared" si="11"/>
        <v/>
      </c>
      <c r="N66" t="str">
        <f t="shared" si="12"/>
        <v/>
      </c>
      <c r="P66" t="s">
        <v>843</v>
      </c>
      <c r="U66" t="s">
        <v>946</v>
      </c>
    </row>
    <row r="67" spans="2:26" ht="27" customHeight="1" x14ac:dyDescent="0.15">
      <c r="B67">
        <v>50</v>
      </c>
      <c r="I67">
        <f t="shared" si="7"/>
        <v>0</v>
      </c>
      <c r="J67">
        <f t="shared" si="8"/>
        <v>0</v>
      </c>
      <c r="K67">
        <f t="shared" si="9"/>
        <v>0</v>
      </c>
      <c r="L67" t="str">
        <f t="shared" si="10"/>
        <v/>
      </c>
      <c r="M67" t="str">
        <f t="shared" si="11"/>
        <v/>
      </c>
      <c r="N67" t="str">
        <f t="shared" si="12"/>
        <v/>
      </c>
      <c r="P67" t="s">
        <v>947</v>
      </c>
      <c r="U67" t="s">
        <v>948</v>
      </c>
    </row>
    <row r="68" spans="2:26" ht="27" customHeight="1" x14ac:dyDescent="0.15">
      <c r="B68">
        <v>51</v>
      </c>
      <c r="I68">
        <f t="shared" si="7"/>
        <v>0</v>
      </c>
      <c r="J68">
        <f t="shared" si="8"/>
        <v>0</v>
      </c>
      <c r="K68">
        <f t="shared" si="9"/>
        <v>0</v>
      </c>
      <c r="L68" t="str">
        <f t="shared" si="10"/>
        <v/>
      </c>
      <c r="M68" t="str">
        <f t="shared" si="11"/>
        <v/>
      </c>
      <c r="N68" t="str">
        <f t="shared" si="12"/>
        <v/>
      </c>
      <c r="P68" t="s">
        <v>949</v>
      </c>
      <c r="U68" t="s">
        <v>950</v>
      </c>
    </row>
    <row r="69" spans="2:26" ht="9" customHeight="1" x14ac:dyDescent="0.15">
      <c r="B69">
        <v>52</v>
      </c>
      <c r="D69" t="s">
        <v>951</v>
      </c>
      <c r="I69">
        <f t="shared" si="7"/>
        <v>0</v>
      </c>
      <c r="J69">
        <f t="shared" si="8"/>
        <v>0</v>
      </c>
      <c r="K69">
        <f t="shared" si="9"/>
        <v>0</v>
      </c>
      <c r="L69" t="str">
        <f t="shared" si="10"/>
        <v/>
      </c>
      <c r="M69" t="str">
        <f t="shared" si="11"/>
        <v/>
      </c>
      <c r="N69" t="str">
        <f t="shared" si="12"/>
        <v/>
      </c>
      <c r="P69" t="s">
        <v>163</v>
      </c>
      <c r="U69" t="s">
        <v>952</v>
      </c>
    </row>
    <row r="70" spans="2:26" ht="27" customHeight="1" x14ac:dyDescent="0.15">
      <c r="B70">
        <v>53</v>
      </c>
      <c r="E70" t="s">
        <v>936</v>
      </c>
      <c r="I70">
        <f t="shared" si="7"/>
        <v>0</v>
      </c>
      <c r="J70">
        <f t="shared" si="8"/>
        <v>0</v>
      </c>
      <c r="K70">
        <f t="shared" si="9"/>
        <v>0</v>
      </c>
      <c r="L70" t="str">
        <f t="shared" si="10"/>
        <v/>
      </c>
      <c r="M70" t="str">
        <f t="shared" si="11"/>
        <v/>
      </c>
      <c r="N70" t="str">
        <f t="shared" si="12"/>
        <v/>
      </c>
      <c r="Q70" t="s">
        <v>80</v>
      </c>
      <c r="V70" t="s">
        <v>953</v>
      </c>
    </row>
    <row r="71" spans="2:26" ht="36" customHeight="1" x14ac:dyDescent="0.15">
      <c r="B71">
        <v>54</v>
      </c>
      <c r="E71" t="s">
        <v>938</v>
      </c>
      <c r="I71">
        <f t="shared" si="7"/>
        <v>0</v>
      </c>
      <c r="J71">
        <f t="shared" si="8"/>
        <v>0</v>
      </c>
      <c r="K71">
        <f t="shared" si="9"/>
        <v>0</v>
      </c>
      <c r="L71" t="str">
        <f t="shared" si="10"/>
        <v/>
      </c>
      <c r="M71" t="str">
        <f t="shared" si="11"/>
        <v/>
      </c>
      <c r="N71" t="str">
        <f t="shared" si="12"/>
        <v/>
      </c>
      <c r="Q71" t="s">
        <v>102</v>
      </c>
      <c r="V71" t="s">
        <v>954</v>
      </c>
    </row>
    <row r="72" spans="2:26" ht="27" customHeight="1" x14ac:dyDescent="0.15">
      <c r="B72">
        <v>55</v>
      </c>
      <c r="E72" t="s">
        <v>940</v>
      </c>
      <c r="I72">
        <f t="shared" si="7"/>
        <v>0</v>
      </c>
      <c r="J72">
        <f t="shared" si="8"/>
        <v>0</v>
      </c>
      <c r="K72">
        <f t="shared" si="9"/>
        <v>0</v>
      </c>
      <c r="L72" t="str">
        <f t="shared" si="10"/>
        <v/>
      </c>
      <c r="M72" t="str">
        <f t="shared" si="11"/>
        <v/>
      </c>
      <c r="N72" t="str">
        <f t="shared" si="12"/>
        <v/>
      </c>
      <c r="Q72" t="s">
        <v>133</v>
      </c>
      <c r="V72" t="s">
        <v>955</v>
      </c>
    </row>
    <row r="73" spans="2:26" ht="36" customHeight="1" x14ac:dyDescent="0.15">
      <c r="B73">
        <v>56</v>
      </c>
      <c r="E73" t="s">
        <v>942</v>
      </c>
      <c r="I73">
        <f t="shared" si="7"/>
        <v>0</v>
      </c>
      <c r="J73">
        <f t="shared" si="8"/>
        <v>0</v>
      </c>
      <c r="K73">
        <f t="shared" si="9"/>
        <v>0</v>
      </c>
      <c r="L73" t="str">
        <f t="shared" si="10"/>
        <v/>
      </c>
      <c r="M73" t="str">
        <f t="shared" si="11"/>
        <v/>
      </c>
      <c r="N73" t="str">
        <f t="shared" si="12"/>
        <v/>
      </c>
      <c r="Q73" t="s">
        <v>106</v>
      </c>
      <c r="V73" t="s">
        <v>956</v>
      </c>
    </row>
    <row r="74" spans="2:26" ht="18" customHeight="1" x14ac:dyDescent="0.15">
      <c r="B74">
        <v>57</v>
      </c>
      <c r="E74" t="s">
        <v>951</v>
      </c>
      <c r="I74">
        <f t="shared" si="7"/>
        <v>0</v>
      </c>
      <c r="J74">
        <f t="shared" si="8"/>
        <v>0</v>
      </c>
      <c r="K74">
        <f t="shared" si="9"/>
        <v>0</v>
      </c>
      <c r="L74" t="str">
        <f t="shared" si="10"/>
        <v/>
      </c>
      <c r="M74" t="str">
        <f t="shared" si="11"/>
        <v/>
      </c>
      <c r="N74" t="str">
        <f t="shared" si="12"/>
        <v/>
      </c>
      <c r="Q74" t="s">
        <v>163</v>
      </c>
      <c r="V74" t="s">
        <v>957</v>
      </c>
    </row>
    <row r="75" spans="2:26" ht="18" customHeight="1" x14ac:dyDescent="0.15">
      <c r="B75">
        <v>58</v>
      </c>
      <c r="F75" t="s">
        <v>936</v>
      </c>
      <c r="I75">
        <f t="shared" si="7"/>
        <v>0</v>
      </c>
      <c r="J75">
        <f t="shared" si="8"/>
        <v>0</v>
      </c>
      <c r="K75">
        <f t="shared" si="9"/>
        <v>0</v>
      </c>
      <c r="L75" t="str">
        <f t="shared" si="10"/>
        <v/>
      </c>
      <c r="M75" t="str">
        <f t="shared" si="11"/>
        <v/>
      </c>
      <c r="N75" t="str">
        <f t="shared" si="12"/>
        <v/>
      </c>
      <c r="R75" t="s">
        <v>80</v>
      </c>
      <c r="W75" t="s">
        <v>958</v>
      </c>
    </row>
    <row r="76" spans="2:26" ht="36" customHeight="1" x14ac:dyDescent="0.15">
      <c r="B76">
        <v>59</v>
      </c>
      <c r="F76" t="s">
        <v>938</v>
      </c>
      <c r="I76">
        <f t="shared" si="7"/>
        <v>0</v>
      </c>
      <c r="J76">
        <f t="shared" si="8"/>
        <v>0</v>
      </c>
      <c r="K76">
        <f t="shared" si="9"/>
        <v>0</v>
      </c>
      <c r="L76" t="str">
        <f t="shared" si="10"/>
        <v/>
      </c>
      <c r="M76" t="str">
        <f t="shared" si="11"/>
        <v/>
      </c>
      <c r="N76" t="str">
        <f t="shared" si="12"/>
        <v/>
      </c>
      <c r="R76" t="s">
        <v>102</v>
      </c>
      <c r="W76" t="s">
        <v>959</v>
      </c>
    </row>
    <row r="77" spans="2:26" ht="18" customHeight="1" x14ac:dyDescent="0.15">
      <c r="B77">
        <v>60</v>
      </c>
      <c r="F77" t="s">
        <v>940</v>
      </c>
      <c r="I77">
        <f t="shared" si="7"/>
        <v>0</v>
      </c>
      <c r="J77">
        <f t="shared" si="8"/>
        <v>0</v>
      </c>
      <c r="K77">
        <f t="shared" si="9"/>
        <v>0</v>
      </c>
      <c r="L77" t="str">
        <f t="shared" si="10"/>
        <v/>
      </c>
      <c r="M77" t="str">
        <f t="shared" si="11"/>
        <v/>
      </c>
      <c r="N77" t="str">
        <f t="shared" si="12"/>
        <v/>
      </c>
      <c r="R77" t="s">
        <v>133</v>
      </c>
      <c r="W77" t="s">
        <v>960</v>
      </c>
    </row>
    <row r="78" spans="2:26" ht="72" customHeight="1" x14ac:dyDescent="0.15">
      <c r="B78">
        <v>61</v>
      </c>
      <c r="C78" t="s">
        <v>936</v>
      </c>
      <c r="I78" t="str">
        <f t="shared" si="7"/>
        <v>7</v>
      </c>
      <c r="J7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t="str">
        <f t="shared" si="10"/>
        <v>7</v>
      </c>
      <c r="M7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t="s">
        <v>80</v>
      </c>
      <c r="T78" t="s">
        <v>961</v>
      </c>
      <c r="Z78" t="s">
        <v>962</v>
      </c>
    </row>
    <row r="79" spans="2:26" ht="36" customHeight="1" x14ac:dyDescent="0.15">
      <c r="B79">
        <v>62</v>
      </c>
      <c r="C79" t="s">
        <v>938</v>
      </c>
      <c r="I79" t="str">
        <f t="shared" si="7"/>
        <v>8</v>
      </c>
      <c r="J79" t="str">
        <f t="shared" si="8"/>
        <v>Тепловая нагрузка по договорам, заключенным в рамках осуществления регулируемых видов деятельности</v>
      </c>
      <c r="K79"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t="str">
        <f t="shared" si="10"/>
        <v>8</v>
      </c>
      <c r="M79" t="str">
        <f t="shared" si="11"/>
        <v>Тепловая нагрузка по договорам, заключенным в рамках осуществления регулируемых видов деятельности</v>
      </c>
      <c r="N7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t="s">
        <v>102</v>
      </c>
      <c r="T79" t="s">
        <v>963</v>
      </c>
      <c r="Z79" t="s">
        <v>964</v>
      </c>
    </row>
    <row r="80" spans="2:26" ht="45" customHeight="1" x14ac:dyDescent="0.15">
      <c r="B80">
        <v>63</v>
      </c>
      <c r="C80" t="s">
        <v>940</v>
      </c>
      <c r="I80" t="str">
        <f t="shared" si="7"/>
        <v>9</v>
      </c>
      <c r="J80" t="str">
        <f t="shared" si="8"/>
        <v>Объем вырабатываемой регулируемой организацией тепловой энергии в рамках осуществления регулируемых видов деятельности</v>
      </c>
      <c r="K80"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t="str">
        <f t="shared" si="10"/>
        <v>9</v>
      </c>
      <c r="M80" t="str">
        <f t="shared" si="11"/>
        <v>Объем вырабатываемой регулируемой организацией тепловой энергии в рамках осуществления регулируемых видов деятельности</v>
      </c>
      <c r="N8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t="s">
        <v>133</v>
      </c>
      <c r="T80" t="s">
        <v>965</v>
      </c>
      <c r="Z80" t="s">
        <v>966</v>
      </c>
    </row>
    <row r="81" spans="2:27" ht="36" customHeight="1" x14ac:dyDescent="0.15">
      <c r="B81">
        <v>64</v>
      </c>
      <c r="C81" t="s">
        <v>942</v>
      </c>
      <c r="I81" t="str">
        <f t="shared" si="7"/>
        <v>9.1</v>
      </c>
      <c r="J81" t="str">
        <f t="shared" si="8"/>
        <v>Объем приобретаемой регулируемой организацией тепловой энергии в рамках осуществления регулируемых видов деятельности</v>
      </c>
      <c r="K81" t="str">
        <f t="shared" si="9"/>
        <v>Информация указывается только едиными теплоснабжающими организациями.</v>
      </c>
      <c r="L81" t="str">
        <f t="shared" si="10"/>
        <v>9.1</v>
      </c>
      <c r="M81" t="str">
        <f t="shared" si="11"/>
        <v>Объем приобретаемой регулируемой организацией тепловой энергии в рамках осуществления регулируемых видов деятельности</v>
      </c>
      <c r="N81" t="str">
        <f t="shared" si="12"/>
        <v>Информация указывается только едиными теплоснабжающими организациями.</v>
      </c>
      <c r="O81" t="s">
        <v>827</v>
      </c>
      <c r="T81" t="s">
        <v>967</v>
      </c>
      <c r="Z81" t="s">
        <v>968</v>
      </c>
    </row>
    <row r="82" spans="2:27" ht="90" customHeight="1" x14ac:dyDescent="0.15">
      <c r="B82">
        <v>65</v>
      </c>
      <c r="C82" t="s">
        <v>951</v>
      </c>
      <c r="I82" t="str">
        <f t="shared" ref="I82:I101" si="13">INDEX(TEMPLATE_NUMBER_POINT_FHD,B82,MATCH(TEMPLATE_SPHERE,TEMPLATE_SPHERE_LIST_FOR_NOTE,0))</f>
        <v>10</v>
      </c>
      <c r="J8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t="str">
        <f t="shared" ref="L82:L101" si="16">IF(I82=0,"",I82)</f>
        <v>10</v>
      </c>
      <c r="M8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t="s">
        <v>106</v>
      </c>
      <c r="T82" t="s">
        <v>969</v>
      </c>
      <c r="Z82" t="s">
        <v>970</v>
      </c>
    </row>
    <row r="83" spans="2:27" ht="9" customHeight="1" x14ac:dyDescent="0.15">
      <c r="B83">
        <v>66</v>
      </c>
      <c r="I83" t="str">
        <f t="shared" si="13"/>
        <v>10.1</v>
      </c>
      <c r="J83" t="str">
        <f t="shared" si="14"/>
        <v xml:space="preserve">По приборам учёта </v>
      </c>
      <c r="K83">
        <f t="shared" si="15"/>
        <v>0</v>
      </c>
      <c r="L83" t="str">
        <f t="shared" si="16"/>
        <v>10.1</v>
      </c>
      <c r="M83" t="str">
        <f t="shared" si="17"/>
        <v xml:space="preserve">По приборам учёта </v>
      </c>
      <c r="N83" t="str">
        <f t="shared" si="18"/>
        <v/>
      </c>
      <c r="O83" t="s">
        <v>839</v>
      </c>
      <c r="T83" t="s">
        <v>971</v>
      </c>
    </row>
    <row r="84" spans="2:27" ht="54" customHeight="1" x14ac:dyDescent="0.15">
      <c r="B84">
        <v>67</v>
      </c>
      <c r="I84" t="str">
        <f t="shared" si="13"/>
        <v>10.1.1</v>
      </c>
      <c r="J8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f t="shared" si="15"/>
        <v>0</v>
      </c>
      <c r="L84" t="str">
        <f t="shared" si="16"/>
        <v>10.1.1</v>
      </c>
      <c r="M8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t="str">
        <f t="shared" si="18"/>
        <v/>
      </c>
      <c r="O84" t="s">
        <v>972</v>
      </c>
      <c r="T84" t="s">
        <v>973</v>
      </c>
    </row>
    <row r="85" spans="2:27" ht="9" customHeight="1" x14ac:dyDescent="0.15">
      <c r="B85">
        <v>68</v>
      </c>
      <c r="I85" t="str">
        <f t="shared" si="13"/>
        <v>10.2</v>
      </c>
      <c r="J85" t="str">
        <f t="shared" si="14"/>
        <v>Расчётным путём</v>
      </c>
      <c r="K85">
        <f t="shared" si="15"/>
        <v>0</v>
      </c>
      <c r="L85" t="str">
        <f t="shared" si="16"/>
        <v>10.2</v>
      </c>
      <c r="M85" t="str">
        <f t="shared" si="17"/>
        <v>Расчётным путём</v>
      </c>
      <c r="N85" t="str">
        <f t="shared" si="18"/>
        <v/>
      </c>
      <c r="O85" t="s">
        <v>843</v>
      </c>
      <c r="T85" t="s">
        <v>974</v>
      </c>
    </row>
    <row r="86" spans="2:27" ht="27" customHeight="1" x14ac:dyDescent="0.15">
      <c r="B86">
        <v>69</v>
      </c>
      <c r="I86" t="str">
        <f t="shared" si="13"/>
        <v>10.3</v>
      </c>
      <c r="J86" t="str">
        <f t="shared" si="14"/>
        <v>По нормативам потребления коммунальных услуг и нормативам потребления коммунальных ресурсов</v>
      </c>
      <c r="K86">
        <f t="shared" si="15"/>
        <v>0</v>
      </c>
      <c r="L86" t="str">
        <f t="shared" si="16"/>
        <v>10.3</v>
      </c>
      <c r="M86" t="str">
        <f t="shared" si="17"/>
        <v>По нормативам потребления коммунальных услуг и нормативам потребления коммунальных ресурсов</v>
      </c>
      <c r="N86" t="str">
        <f t="shared" si="18"/>
        <v/>
      </c>
      <c r="O86" t="s">
        <v>975</v>
      </c>
      <c r="T86" t="s">
        <v>976</v>
      </c>
    </row>
    <row r="87" spans="2:27" ht="36" customHeight="1" x14ac:dyDescent="0.15">
      <c r="B87">
        <v>70</v>
      </c>
      <c r="C87" t="s">
        <v>977</v>
      </c>
      <c r="I87" t="str">
        <f t="shared" si="13"/>
        <v>11</v>
      </c>
      <c r="J8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f t="shared" si="15"/>
        <v>0</v>
      </c>
      <c r="L87" t="str">
        <f t="shared" si="16"/>
        <v>11</v>
      </c>
      <c r="M8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t="str">
        <f t="shared" si="18"/>
        <v/>
      </c>
      <c r="O87" t="s">
        <v>163</v>
      </c>
      <c r="T87" t="s">
        <v>978</v>
      </c>
    </row>
    <row r="88" spans="2:27" ht="18" customHeight="1" x14ac:dyDescent="0.15">
      <c r="B88">
        <v>71</v>
      </c>
      <c r="C88" t="s">
        <v>979</v>
      </c>
      <c r="I88" t="str">
        <f t="shared" si="13"/>
        <v>12</v>
      </c>
      <c r="J88" t="str">
        <f t="shared" si="14"/>
        <v>Фактический объем потерь при передаче тепловой энергии</v>
      </c>
      <c r="K88">
        <f t="shared" si="15"/>
        <v>0</v>
      </c>
      <c r="L88" t="str">
        <f t="shared" si="16"/>
        <v>12</v>
      </c>
      <c r="M88" t="str">
        <f t="shared" si="17"/>
        <v>Фактический объем потерь при передаче тепловой энергии</v>
      </c>
      <c r="N88" t="str">
        <f t="shared" si="18"/>
        <v/>
      </c>
      <c r="O88" t="s">
        <v>109</v>
      </c>
      <c r="T88" t="s">
        <v>980</v>
      </c>
    </row>
    <row r="89" spans="2:27" ht="18" customHeight="1" x14ac:dyDescent="0.15">
      <c r="B89">
        <v>72</v>
      </c>
      <c r="C89" t="s">
        <v>981</v>
      </c>
      <c r="D89" t="s">
        <v>977</v>
      </c>
      <c r="E89" t="s">
        <v>977</v>
      </c>
      <c r="F89" t="s">
        <v>942</v>
      </c>
      <c r="I89" t="str">
        <f t="shared" si="13"/>
        <v>13</v>
      </c>
      <c r="J89" t="str">
        <f t="shared" si="14"/>
        <v>Среднесписочная численность основного производственного персонала</v>
      </c>
      <c r="K89">
        <f t="shared" si="15"/>
        <v>0</v>
      </c>
      <c r="L89" t="str">
        <f t="shared" si="16"/>
        <v>13</v>
      </c>
      <c r="M89" t="str">
        <f t="shared" si="17"/>
        <v>Среднесписочная численность основного производственного персонала</v>
      </c>
      <c r="N89" t="str">
        <f t="shared" si="18"/>
        <v/>
      </c>
      <c r="O89" t="s">
        <v>112</v>
      </c>
      <c r="P89" t="s">
        <v>109</v>
      </c>
      <c r="Q89" t="s">
        <v>109</v>
      </c>
      <c r="R89" t="s">
        <v>106</v>
      </c>
      <c r="T89" t="s">
        <v>982</v>
      </c>
      <c r="U89" t="s">
        <v>982</v>
      </c>
      <c r="V89" t="s">
        <v>982</v>
      </c>
      <c r="W89" t="s">
        <v>982</v>
      </c>
    </row>
    <row r="90" spans="2:27" ht="27" customHeight="1" x14ac:dyDescent="0.15">
      <c r="B90">
        <v>73</v>
      </c>
      <c r="C90" t="s">
        <v>983</v>
      </c>
      <c r="I90" t="str">
        <f t="shared" si="13"/>
        <v>14</v>
      </c>
      <c r="J90" t="str">
        <f t="shared" si="14"/>
        <v>Среднесписочная численность административно-управленческого персонала</v>
      </c>
      <c r="K90">
        <f t="shared" si="15"/>
        <v>0</v>
      </c>
      <c r="L90" t="str">
        <f t="shared" si="16"/>
        <v>14</v>
      </c>
      <c r="M90" t="str">
        <f t="shared" si="17"/>
        <v>Среднесписочная численность административно-управленческого персонала</v>
      </c>
      <c r="N90" t="str">
        <f t="shared" si="18"/>
        <v/>
      </c>
      <c r="O90" t="s">
        <v>115</v>
      </c>
      <c r="T90" t="s">
        <v>984</v>
      </c>
    </row>
    <row r="91" spans="2:27" ht="18" customHeight="1" x14ac:dyDescent="0.15">
      <c r="B91">
        <v>74</v>
      </c>
      <c r="D91" t="s">
        <v>979</v>
      </c>
      <c r="E91" t="s">
        <v>979</v>
      </c>
      <c r="I91">
        <f t="shared" si="13"/>
        <v>0</v>
      </c>
      <c r="J91">
        <f t="shared" si="14"/>
        <v>0</v>
      </c>
      <c r="K91">
        <f t="shared" si="15"/>
        <v>0</v>
      </c>
      <c r="L91" t="str">
        <f t="shared" si="16"/>
        <v/>
      </c>
      <c r="M91" t="str">
        <f t="shared" si="17"/>
        <v/>
      </c>
      <c r="N91" t="str">
        <f t="shared" si="18"/>
        <v/>
      </c>
      <c r="P91" t="s">
        <v>112</v>
      </c>
      <c r="Q91" t="s">
        <v>112</v>
      </c>
      <c r="U91" t="s">
        <v>985</v>
      </c>
      <c r="V91" t="s">
        <v>985</v>
      </c>
    </row>
    <row r="92" spans="2:27" ht="27" customHeight="1" x14ac:dyDescent="0.15">
      <c r="B92">
        <v>75</v>
      </c>
      <c r="D92" t="s">
        <v>981</v>
      </c>
      <c r="I92">
        <f t="shared" si="13"/>
        <v>0</v>
      </c>
      <c r="J92">
        <f t="shared" si="14"/>
        <v>0</v>
      </c>
      <c r="K92">
        <f t="shared" si="15"/>
        <v>0</v>
      </c>
      <c r="L92" t="str">
        <f t="shared" si="16"/>
        <v/>
      </c>
      <c r="M92" t="str">
        <f t="shared" si="17"/>
        <v/>
      </c>
      <c r="N92" t="str">
        <f t="shared" si="18"/>
        <v/>
      </c>
      <c r="P92" t="s">
        <v>115</v>
      </c>
      <c r="U92" t="s">
        <v>986</v>
      </c>
      <c r="AA92" t="s">
        <v>987</v>
      </c>
    </row>
    <row r="93" spans="2:27" ht="27" customHeight="1" x14ac:dyDescent="0.15">
      <c r="B93">
        <v>76</v>
      </c>
      <c r="I93">
        <f t="shared" si="13"/>
        <v>0</v>
      </c>
      <c r="J93">
        <f t="shared" si="14"/>
        <v>0</v>
      </c>
      <c r="K93">
        <f t="shared" si="15"/>
        <v>0</v>
      </c>
      <c r="L93" t="str">
        <f t="shared" si="16"/>
        <v/>
      </c>
      <c r="M93" t="str">
        <f t="shared" si="17"/>
        <v/>
      </c>
      <c r="N93" t="str">
        <f t="shared" si="18"/>
        <v/>
      </c>
      <c r="P93" t="s">
        <v>873</v>
      </c>
      <c r="U93" t="s">
        <v>988</v>
      </c>
      <c r="AA93" t="s">
        <v>989</v>
      </c>
    </row>
    <row r="94" spans="2:27" ht="45" customHeight="1" x14ac:dyDescent="0.15">
      <c r="B94">
        <v>77</v>
      </c>
      <c r="D94" t="s">
        <v>983</v>
      </c>
      <c r="I94">
        <f t="shared" si="13"/>
        <v>0</v>
      </c>
      <c r="J94">
        <f t="shared" si="14"/>
        <v>0</v>
      </c>
      <c r="K94">
        <f t="shared" si="15"/>
        <v>0</v>
      </c>
      <c r="L94" t="str">
        <f t="shared" si="16"/>
        <v/>
      </c>
      <c r="M94" t="str">
        <f t="shared" si="17"/>
        <v/>
      </c>
      <c r="N94" t="str">
        <f t="shared" si="18"/>
        <v/>
      </c>
      <c r="P94" t="s">
        <v>118</v>
      </c>
      <c r="U94" t="s">
        <v>990</v>
      </c>
      <c r="AA94" t="s">
        <v>991</v>
      </c>
    </row>
    <row r="95" spans="2:27" ht="99" customHeight="1" x14ac:dyDescent="0.15">
      <c r="B95">
        <v>78</v>
      </c>
      <c r="C95" t="s">
        <v>992</v>
      </c>
      <c r="I95" t="str">
        <f t="shared" si="13"/>
        <v>15</v>
      </c>
      <c r="J9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f t="shared" si="15"/>
        <v>0</v>
      </c>
      <c r="L95" t="str">
        <f t="shared" si="16"/>
        <v>15</v>
      </c>
      <c r="M9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t="str">
        <f t="shared" si="18"/>
        <v/>
      </c>
      <c r="O95" t="s">
        <v>118</v>
      </c>
      <c r="T95" t="s">
        <v>993</v>
      </c>
    </row>
    <row r="96" spans="2:27" ht="99" customHeight="1" x14ac:dyDescent="0.15">
      <c r="B96">
        <v>79</v>
      </c>
      <c r="C96" t="s">
        <v>994</v>
      </c>
      <c r="I96" t="str">
        <f t="shared" si="13"/>
        <v>16</v>
      </c>
      <c r="J9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t="str">
        <f t="shared" si="16"/>
        <v>16</v>
      </c>
      <c r="M96"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t="s">
        <v>169</v>
      </c>
      <c r="T96" t="s">
        <v>995</v>
      </c>
      <c r="Z96" t="s">
        <v>996</v>
      </c>
    </row>
    <row r="97" spans="2:26" ht="63" customHeight="1" x14ac:dyDescent="0.15">
      <c r="B97">
        <v>80</v>
      </c>
      <c r="C97" t="s">
        <v>997</v>
      </c>
      <c r="I97" t="str">
        <f t="shared" si="13"/>
        <v>17</v>
      </c>
      <c r="J9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t="str">
        <f t="shared" si="15"/>
        <v>Регулируемыми организациями указывается информация с по договорам, заключенным в рамках осуществления регулируемой деятельности.</v>
      </c>
      <c r="L97" t="str">
        <f t="shared" si="16"/>
        <v>17</v>
      </c>
      <c r="M9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t="str">
        <f t="shared" si="18"/>
        <v>Регулируемыми организациями указывается информация с по договорам, заключенным в рамках осуществления регулируемой деятельности.</v>
      </c>
      <c r="O97" t="s">
        <v>241</v>
      </c>
      <c r="T97" t="s">
        <v>998</v>
      </c>
      <c r="Z97" t="s">
        <v>999</v>
      </c>
    </row>
    <row r="98" spans="2:26" ht="63" customHeight="1" x14ac:dyDescent="0.15">
      <c r="B98">
        <v>81</v>
      </c>
      <c r="C98" t="s">
        <v>1000</v>
      </c>
      <c r="I98" t="str">
        <f t="shared" si="13"/>
        <v>18</v>
      </c>
      <c r="J9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t="str">
        <f t="shared" si="15"/>
        <v>Регулируемыми организациями указывается информация с по договорам, заключенным в рамках осуществления регулируемой деятельности.</v>
      </c>
      <c r="L98" t="str">
        <f t="shared" si="16"/>
        <v>18</v>
      </c>
      <c r="M9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t="str">
        <f t="shared" si="18"/>
        <v>Регулируемыми организациями указывается информация с по договорам, заключенным в рамках осуществления регулируемой деятельности.</v>
      </c>
      <c r="O98" t="s">
        <v>173</v>
      </c>
      <c r="T98" t="s">
        <v>1001</v>
      </c>
      <c r="Z98" t="s">
        <v>999</v>
      </c>
    </row>
    <row r="99" spans="2:26" ht="90" customHeight="1" x14ac:dyDescent="0.15">
      <c r="B99">
        <v>82</v>
      </c>
      <c r="C99" t="s">
        <v>1002</v>
      </c>
      <c r="I99" t="str">
        <f t="shared" si="13"/>
        <v>19</v>
      </c>
      <c r="J99"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t="str">
        <f t="shared" si="15"/>
        <v>Указывается ссылка на документ, предварительно загруженный в хранилище файлов ФГИС ЕИАС.</v>
      </c>
      <c r="L99" t="str">
        <f t="shared" si="16"/>
        <v>19</v>
      </c>
      <c r="M9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t="str">
        <f t="shared" si="18"/>
        <v>Указывается ссылка на документ, предварительно загруженный в хранилище файлов ФГИС ЕИАС.</v>
      </c>
      <c r="O99" t="s">
        <v>259</v>
      </c>
      <c r="T99" t="s">
        <v>1003</v>
      </c>
      <c r="Z99" t="s">
        <v>1004</v>
      </c>
    </row>
    <row r="100" spans="2:26" ht="27" customHeight="1" x14ac:dyDescent="0.15">
      <c r="B100">
        <v>83</v>
      </c>
      <c r="I100" t="str">
        <f t="shared" si="13"/>
        <v>19.1</v>
      </c>
      <c r="J100" t="str">
        <f t="shared" si="14"/>
        <v>Информация о показателях физического износа объектов теплоснабжения</v>
      </c>
      <c r="K100" t="str">
        <f t="shared" si="15"/>
        <v>Указывается ссылка на документ, предварительно загруженный в хранилище файлов ФГИС ЕИАС.</v>
      </c>
      <c r="L100" t="str">
        <f t="shared" si="16"/>
        <v>19.1</v>
      </c>
      <c r="M100" t="str">
        <f t="shared" si="17"/>
        <v>Информация о показателях физического износа объектов теплоснабжения</v>
      </c>
      <c r="N100" t="str">
        <f t="shared" si="18"/>
        <v>Указывается ссылка на документ, предварительно загруженный в хранилище файлов ФГИС ЕИАС.</v>
      </c>
      <c r="O100" t="s">
        <v>1005</v>
      </c>
      <c r="T100" t="s">
        <v>1006</v>
      </c>
      <c r="Z100" t="s">
        <v>1004</v>
      </c>
    </row>
    <row r="101" spans="2:26" ht="27" customHeight="1" x14ac:dyDescent="0.15">
      <c r="B101">
        <v>84</v>
      </c>
      <c r="I101" t="str">
        <f t="shared" si="13"/>
        <v>19.2</v>
      </c>
      <c r="J101" t="str">
        <f t="shared" si="14"/>
        <v>Информация о показателях энергетической эффективности объектов теплоснабжения</v>
      </c>
      <c r="K101" t="str">
        <f t="shared" si="15"/>
        <v>Указывается ссылка на документ, предварительно загруженный в хранилище файлов ФГИС ЕИАС.</v>
      </c>
      <c r="L101" t="str">
        <f t="shared" si="16"/>
        <v>19.2</v>
      </c>
      <c r="M101" t="str">
        <f t="shared" si="17"/>
        <v>Информация о показателях энергетической эффективности объектов теплоснабжения</v>
      </c>
      <c r="N101" t="str">
        <f t="shared" si="18"/>
        <v>Указывается ссылка на документ, предварительно загруженный в хранилище файлов ФГИС ЕИАС.</v>
      </c>
      <c r="O101" t="s">
        <v>1007</v>
      </c>
      <c r="T101" t="s">
        <v>1008</v>
      </c>
      <c r="Z101" t="s">
        <v>1004</v>
      </c>
    </row>
    <row r="148" spans="1:24" ht="90" customHeight="1" x14ac:dyDescent="0.15">
      <c r="A148" t="s">
        <v>1009</v>
      </c>
      <c r="C148" t="s">
        <v>1010</v>
      </c>
      <c r="D148" t="s">
        <v>303</v>
      </c>
      <c r="E148" t="s">
        <v>253</v>
      </c>
      <c r="F148" t="s">
        <v>145</v>
      </c>
      <c r="M14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T148" t="s">
        <v>1011</v>
      </c>
      <c r="U1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X148" t="s">
        <v>1012</v>
      </c>
    </row>
    <row r="150" spans="1:24" ht="9" customHeight="1" x14ac:dyDescent="0.15">
      <c r="A150" t="s">
        <v>1013</v>
      </c>
    </row>
    <row r="152" spans="1:24" ht="9" customHeight="1" x14ac:dyDescent="0.15">
      <c r="A152" t="s">
        <v>1014</v>
      </c>
    </row>
    <row r="154" spans="1:24" ht="9" customHeight="1" x14ac:dyDescent="0.15">
      <c r="A154" t="s">
        <v>1015</v>
      </c>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x14ac:dyDescent="0.15"/>
  <cols>
    <col min="1" max="1" width="32.5703125" customWidth="1"/>
    <col min="2" max="2" width="11" customWidth="1"/>
    <col min="4" max="4" width="26.5703125" customWidth="1"/>
    <col min="5" max="5" width="27.7109375" customWidth="1"/>
    <col min="6" max="6" width="23.5703125" customWidth="1"/>
    <col min="7" max="7" width="31.42578125" customWidth="1"/>
    <col min="8" max="8" width="40.85546875" customWidth="1"/>
    <col min="9" max="9" width="14.5703125" customWidth="1"/>
    <col min="10" max="10" width="26.85546875" customWidth="1"/>
    <col min="11" max="11" width="50" customWidth="1"/>
    <col min="12" max="13" width="10.7109375" customWidth="1"/>
    <col min="14" max="14" width="55.140625" customWidth="1"/>
    <col min="15" max="15" width="31.85546875" customWidth="1"/>
    <col min="16" max="16" width="23.85546875" customWidth="1"/>
    <col min="17" max="17" width="46.5703125" customWidth="1"/>
    <col min="18" max="18" width="24" customWidth="1"/>
    <col min="19" max="19" width="20.5703125" customWidth="1"/>
    <col min="20" max="20" width="22" customWidth="1"/>
    <col min="21" max="22" width="26.42578125" customWidth="1"/>
    <col min="23" max="23" width="8.28515625" hidden="1" customWidth="1"/>
    <col min="24" max="24" width="59.7109375" customWidth="1"/>
    <col min="25" max="25" width="49.140625" customWidth="1"/>
    <col min="26" max="26" width="11.140625" customWidth="1"/>
    <col min="27" max="30" width="29" customWidth="1"/>
    <col min="32" max="32" width="34.7109375" customWidth="1"/>
    <col min="34" max="35" width="34.42578125" customWidth="1"/>
    <col min="37" max="37" width="24.5703125" customWidth="1"/>
    <col min="39" max="39" width="26.140625" customWidth="1"/>
    <col min="40" max="40" width="1.7109375" customWidth="1"/>
    <col min="42" max="43" width="47.85546875" customWidth="1"/>
    <col min="44" max="44" width="1.7109375" customWidth="1"/>
    <col min="45" max="45" width="21.42578125" customWidth="1"/>
    <col min="46" max="46" width="1.7109375" customWidth="1"/>
    <col min="47" max="47" width="31.28515625" customWidth="1"/>
    <col min="48" max="48" width="1.7109375" customWidth="1"/>
    <col min="51" max="51" width="3.7109375" customWidth="1"/>
    <col min="52" max="52" width="55" customWidth="1"/>
    <col min="54" max="54" width="35.140625" customWidth="1"/>
    <col min="56" max="56" width="1.7109375" customWidth="1"/>
    <col min="57" max="57" width="12.5703125" customWidth="1"/>
    <col min="58" max="58" width="14.28515625" customWidth="1"/>
    <col min="59" max="59" width="30.7109375" customWidth="1"/>
    <col min="60" max="60" width="40.7109375" customWidth="1"/>
    <col min="61" max="61" width="15" customWidth="1"/>
    <col min="62" max="62" width="40.7109375" customWidth="1"/>
    <col min="63" max="63" width="2.7109375" customWidth="1"/>
    <col min="64" max="64" width="44.7109375" customWidth="1"/>
    <col min="65" max="65" width="2.7109375" customWidth="1"/>
    <col min="66" max="66" width="40.7109375" customWidth="1"/>
    <col min="69" max="69" width="18.140625" customWidth="1"/>
    <col min="70" max="70" width="57.85546875" customWidth="1"/>
    <col min="71" max="71" width="1.7109375" customWidth="1"/>
    <col min="72" max="72" width="22.5703125" customWidth="1"/>
    <col min="73" max="73" width="57.85546875" customWidth="1"/>
    <col min="74" max="74" width="1.7109375" customWidth="1"/>
    <col min="75" max="75" width="22.5703125" customWidth="1"/>
    <col min="76" max="76" width="57.85546875" customWidth="1"/>
    <col min="77" max="77" width="1.7109375" customWidth="1"/>
    <col min="78" max="78" width="22.5703125" customWidth="1"/>
    <col min="79" max="79" width="57.85546875" customWidth="1"/>
    <col min="82" max="82" width="49.5703125" customWidth="1"/>
  </cols>
  <sheetData>
    <row r="1" spans="1:79" ht="11.25" customHeight="1" x14ac:dyDescent="0.15">
      <c r="A1" t="s">
        <v>1016</v>
      </c>
      <c r="B1" t="s">
        <v>1017</v>
      </c>
      <c r="C1" t="s">
        <v>1018</v>
      </c>
      <c r="D1" t="s">
        <v>1019</v>
      </c>
      <c r="E1" t="s">
        <v>1020</v>
      </c>
      <c r="F1" t="s">
        <v>1021</v>
      </c>
      <c r="G1" t="s">
        <v>1022</v>
      </c>
      <c r="H1" t="s">
        <v>1023</v>
      </c>
      <c r="I1" t="s">
        <v>1024</v>
      </c>
      <c r="J1" t="s">
        <v>1025</v>
      </c>
      <c r="K1" t="s">
        <v>1026</v>
      </c>
      <c r="N1" t="s">
        <v>1027</v>
      </c>
      <c r="O1" t="s">
        <v>1028</v>
      </c>
      <c r="P1" t="s">
        <v>1029</v>
      </c>
      <c r="Q1" t="s">
        <v>1030</v>
      </c>
      <c r="R1" t="s">
        <v>1031</v>
      </c>
      <c r="S1" t="s">
        <v>1032</v>
      </c>
      <c r="T1" t="s">
        <v>1033</v>
      </c>
      <c r="U1" t="s">
        <v>1034</v>
      </c>
      <c r="W1" t="s">
        <v>1035</v>
      </c>
      <c r="X1" t="s">
        <v>1036</v>
      </c>
      <c r="Y1" t="s">
        <v>1037</v>
      </c>
      <c r="AA1" t="s">
        <v>1038</v>
      </c>
      <c r="AC1" t="s">
        <v>1039</v>
      </c>
      <c r="AF1" t="s">
        <v>1040</v>
      </c>
      <c r="AH1" t="s">
        <v>1041</v>
      </c>
      <c r="AI1" t="s">
        <v>1042</v>
      </c>
      <c r="AK1" t="s">
        <v>1043</v>
      </c>
      <c r="AM1" t="s">
        <v>1044</v>
      </c>
      <c r="AP1" t="s">
        <v>1045</v>
      </c>
      <c r="AQ1" t="s">
        <v>1046</v>
      </c>
      <c r="AS1" t="s">
        <v>1047</v>
      </c>
      <c r="AU1" t="s">
        <v>1048</v>
      </c>
      <c r="AW1" t="s">
        <v>1049</v>
      </c>
      <c r="AX1" t="s">
        <v>1050</v>
      </c>
      <c r="AZ1" t="s">
        <v>1051</v>
      </c>
      <c r="BB1" t="s">
        <v>1052</v>
      </c>
      <c r="BE1" t="s">
        <v>1053</v>
      </c>
      <c r="BF1" t="s">
        <v>1054</v>
      </c>
      <c r="BH1" t="s">
        <v>693</v>
      </c>
      <c r="BJ1" t="s">
        <v>1055</v>
      </c>
      <c r="BL1" t="s">
        <v>695</v>
      </c>
      <c r="BN1" t="s">
        <v>1056</v>
      </c>
    </row>
    <row r="2" spans="1:79" ht="11.25" customHeight="1" x14ac:dyDescent="0.15">
      <c r="A2" t="s">
        <v>1057</v>
      </c>
      <c r="B2">
        <v>2000</v>
      </c>
      <c r="C2">
        <v>2022</v>
      </c>
      <c r="D2" t="s">
        <v>50</v>
      </c>
      <c r="E2" t="s">
        <v>1058</v>
      </c>
      <c r="F2" t="s">
        <v>1059</v>
      </c>
      <c r="G2" t="s">
        <v>1060</v>
      </c>
      <c r="H2" t="s">
        <v>41</v>
      </c>
      <c r="I2" t="s">
        <v>165</v>
      </c>
      <c r="J2" t="s">
        <v>1061</v>
      </c>
      <c r="K2" t="s">
        <v>1062</v>
      </c>
      <c r="L2" t="s">
        <v>1062</v>
      </c>
      <c r="M2">
        <v>1</v>
      </c>
      <c r="N2" t="s">
        <v>1063</v>
      </c>
      <c r="O2" t="s">
        <v>1064</v>
      </c>
      <c r="P2" t="s">
        <v>19</v>
      </c>
      <c r="Q2" t="s">
        <v>1065</v>
      </c>
      <c r="R2" t="s">
        <v>1066</v>
      </c>
      <c r="S2" t="s">
        <v>1067</v>
      </c>
      <c r="T2" t="s">
        <v>1068</v>
      </c>
      <c r="U2" t="s">
        <v>1069</v>
      </c>
      <c r="V2">
        <v>1</v>
      </c>
      <c r="X2" t="s">
        <v>1070</v>
      </c>
      <c r="Y2" t="s">
        <v>1071</v>
      </c>
      <c r="AA2" t="s">
        <v>1072</v>
      </c>
      <c r="AB2" t="s">
        <v>1072</v>
      </c>
      <c r="AC2" t="s">
        <v>1073</v>
      </c>
      <c r="AD2" t="s">
        <v>1073</v>
      </c>
      <c r="AF2" t="s">
        <v>1069</v>
      </c>
      <c r="AH2" t="s">
        <v>1074</v>
      </c>
      <c r="AI2" t="s">
        <v>1074</v>
      </c>
      <c r="AK2" t="s">
        <v>1075</v>
      </c>
      <c r="AM2" t="s">
        <v>1076</v>
      </c>
      <c r="AP2" t="s">
        <v>1070</v>
      </c>
      <c r="AQ2" t="s">
        <v>1070</v>
      </c>
      <c r="AS2" t="s">
        <v>1077</v>
      </c>
      <c r="AU2" t="s">
        <v>1078</v>
      </c>
      <c r="AW2" t="s">
        <v>1079</v>
      </c>
      <c r="AX2" t="s">
        <v>1079</v>
      </c>
      <c r="AZ2" t="s">
        <v>39</v>
      </c>
      <c r="BB2" t="s">
        <v>1080</v>
      </c>
      <c r="BC2" t="s">
        <v>1081</v>
      </c>
      <c r="BE2">
        <v>2000</v>
      </c>
      <c r="BF2" t="s">
        <v>1082</v>
      </c>
    </row>
    <row r="3" spans="1:79" ht="11.25" customHeight="1" x14ac:dyDescent="0.15">
      <c r="A3" t="s">
        <v>1083</v>
      </c>
      <c r="B3">
        <v>2001</v>
      </c>
      <c r="C3">
        <v>2023</v>
      </c>
      <c r="D3" t="s">
        <v>43</v>
      </c>
      <c r="E3" t="s">
        <v>1084</v>
      </c>
      <c r="F3" t="s">
        <v>1085</v>
      </c>
      <c r="G3" t="s">
        <v>1086</v>
      </c>
      <c r="H3" t="s">
        <v>1087</v>
      </c>
      <c r="I3" t="s">
        <v>89</v>
      </c>
      <c r="J3" t="s">
        <v>1088</v>
      </c>
      <c r="K3" t="s">
        <v>1089</v>
      </c>
      <c r="L3" t="s">
        <v>1089</v>
      </c>
      <c r="M3">
        <v>2</v>
      </c>
      <c r="N3" t="s">
        <v>1090</v>
      </c>
      <c r="O3" t="s">
        <v>1091</v>
      </c>
      <c r="P3" t="s">
        <v>1092</v>
      </c>
      <c r="Q3" t="s">
        <v>1093</v>
      </c>
      <c r="R3" t="s">
        <v>1094</v>
      </c>
      <c r="S3" t="s">
        <v>1095</v>
      </c>
      <c r="T3" t="s">
        <v>1096</v>
      </c>
      <c r="U3" t="s">
        <v>1097</v>
      </c>
      <c r="V3">
        <v>2</v>
      </c>
      <c r="X3" t="s">
        <v>1098</v>
      </c>
      <c r="Y3" t="s">
        <v>1071</v>
      </c>
      <c r="AA3" t="s">
        <v>1099</v>
      </c>
      <c r="AB3" t="s">
        <v>1099</v>
      </c>
      <c r="AC3" t="s">
        <v>1100</v>
      </c>
      <c r="AD3" t="s">
        <v>1100</v>
      </c>
      <c r="AF3" t="s">
        <v>1097</v>
      </c>
      <c r="AH3" t="s">
        <v>1101</v>
      </c>
      <c r="AI3" t="s">
        <v>1102</v>
      </c>
      <c r="AK3" t="s">
        <v>1103</v>
      </c>
      <c r="AM3" t="s">
        <v>1104</v>
      </c>
      <c r="AP3" t="s">
        <v>1105</v>
      </c>
      <c r="AQ3" t="s">
        <v>1105</v>
      </c>
      <c r="AS3" t="s">
        <v>1106</v>
      </c>
      <c r="AU3" t="s">
        <v>1107</v>
      </c>
      <c r="AW3" t="s">
        <v>1108</v>
      </c>
      <c r="AX3" t="s">
        <v>1108</v>
      </c>
      <c r="AZ3" t="s">
        <v>1109</v>
      </c>
      <c r="BB3" t="s">
        <v>1110</v>
      </c>
      <c r="BC3" t="s">
        <v>1081</v>
      </c>
      <c r="BE3">
        <v>2001</v>
      </c>
      <c r="BF3" t="s">
        <v>1111</v>
      </c>
      <c r="BH3" t="s">
        <v>1112</v>
      </c>
      <c r="BJ3" t="s">
        <v>1113</v>
      </c>
      <c r="BL3" t="s">
        <v>1114</v>
      </c>
      <c r="BN3" t="s">
        <v>1115</v>
      </c>
      <c r="BR3" t="s">
        <v>1116</v>
      </c>
      <c r="BU3" t="s">
        <v>1117</v>
      </c>
      <c r="BX3" t="s">
        <v>1118</v>
      </c>
      <c r="CA3" t="s">
        <v>1119</v>
      </c>
    </row>
    <row r="4" spans="1:79" ht="11.25" customHeight="1" x14ac:dyDescent="0.15">
      <c r="A4" t="s">
        <v>1120</v>
      </c>
      <c r="B4">
        <v>2002</v>
      </c>
      <c r="C4">
        <v>2024</v>
      </c>
      <c r="E4" t="s">
        <v>1121</v>
      </c>
      <c r="F4" t="s">
        <v>1122</v>
      </c>
      <c r="H4" t="s">
        <v>1123</v>
      </c>
      <c r="I4" t="s">
        <v>77</v>
      </c>
      <c r="J4" t="s">
        <v>1124</v>
      </c>
      <c r="K4" t="s">
        <v>1125</v>
      </c>
      <c r="L4" t="s">
        <v>1125</v>
      </c>
      <c r="M4">
        <v>3</v>
      </c>
      <c r="N4" t="s">
        <v>1126</v>
      </c>
      <c r="O4" t="s">
        <v>1127</v>
      </c>
      <c r="Q4" t="s">
        <v>1128</v>
      </c>
      <c r="R4" t="s">
        <v>1129</v>
      </c>
      <c r="S4" t="s">
        <v>1130</v>
      </c>
      <c r="T4" t="s">
        <v>1131</v>
      </c>
      <c r="U4" t="s">
        <v>1132</v>
      </c>
      <c r="V4">
        <v>3</v>
      </c>
      <c r="X4" t="s">
        <v>1133</v>
      </c>
      <c r="Y4" t="s">
        <v>1071</v>
      </c>
      <c r="AC4" t="s">
        <v>1134</v>
      </c>
      <c r="AD4" t="s">
        <v>1134</v>
      </c>
      <c r="AF4" t="s">
        <v>1132</v>
      </c>
      <c r="AH4" t="s">
        <v>1135</v>
      </c>
      <c r="AK4" t="s">
        <v>1136</v>
      </c>
      <c r="AM4" t="s">
        <v>1137</v>
      </c>
      <c r="AP4" t="s">
        <v>1098</v>
      </c>
      <c r="AQ4" t="s">
        <v>1098</v>
      </c>
      <c r="AS4" t="s">
        <v>1138</v>
      </c>
      <c r="AU4" t="s">
        <v>1139</v>
      </c>
      <c r="AW4" t="s">
        <v>1140</v>
      </c>
      <c r="AX4" t="s">
        <v>1140</v>
      </c>
      <c r="AZ4" t="s">
        <v>1141</v>
      </c>
      <c r="BB4" t="s">
        <v>1142</v>
      </c>
      <c r="BC4" t="s">
        <v>1143</v>
      </c>
      <c r="BE4">
        <v>2002</v>
      </c>
      <c r="BF4" t="s">
        <v>1144</v>
      </c>
      <c r="BH4" t="s">
        <v>1145</v>
      </c>
      <c r="BJ4" t="s">
        <v>1145</v>
      </c>
      <c r="BL4" t="s">
        <v>1145</v>
      </c>
      <c r="BN4" t="s">
        <v>1145</v>
      </c>
      <c r="BQ4" t="s">
        <v>1146</v>
      </c>
      <c r="BR4" t="s">
        <v>1147</v>
      </c>
      <c r="BT4" t="s">
        <v>1148</v>
      </c>
      <c r="BU4" t="s">
        <v>1149</v>
      </c>
      <c r="BW4" t="s">
        <v>1150</v>
      </c>
      <c r="BX4" t="s">
        <v>1151</v>
      </c>
      <c r="BZ4" t="s">
        <v>1152</v>
      </c>
      <c r="CA4" t="s">
        <v>1153</v>
      </c>
    </row>
    <row r="5" spans="1:79" ht="11.25" customHeight="1" x14ac:dyDescent="0.15">
      <c r="A5" t="s">
        <v>1154</v>
      </c>
      <c r="B5">
        <v>2003</v>
      </c>
      <c r="C5">
        <v>2025</v>
      </c>
      <c r="E5" t="s">
        <v>1155</v>
      </c>
      <c r="F5" t="s">
        <v>1156</v>
      </c>
      <c r="H5" t="s">
        <v>1157</v>
      </c>
      <c r="I5" t="s">
        <v>78</v>
      </c>
      <c r="K5" t="s">
        <v>1158</v>
      </c>
      <c r="L5" t="s">
        <v>1158</v>
      </c>
      <c r="M5">
        <v>4</v>
      </c>
      <c r="N5" t="s">
        <v>1159</v>
      </c>
      <c r="O5" t="s">
        <v>1160</v>
      </c>
      <c r="Q5" t="s">
        <v>1161</v>
      </c>
      <c r="R5" t="s">
        <v>1162</v>
      </c>
      <c r="T5" t="s">
        <v>1163</v>
      </c>
      <c r="U5" t="s">
        <v>1164</v>
      </c>
      <c r="V5">
        <v>4</v>
      </c>
      <c r="X5" t="s">
        <v>470</v>
      </c>
      <c r="Y5" t="s">
        <v>1165</v>
      </c>
      <c r="Z5">
        <v>1</v>
      </c>
      <c r="AF5" t="s">
        <v>1166</v>
      </c>
      <c r="AH5" t="s">
        <v>1167</v>
      </c>
      <c r="AK5" t="s">
        <v>1168</v>
      </c>
      <c r="AM5" t="s">
        <v>1169</v>
      </c>
      <c r="AP5" t="s">
        <v>470</v>
      </c>
      <c r="AQ5" t="s">
        <v>470</v>
      </c>
      <c r="AU5" t="s">
        <v>1170</v>
      </c>
      <c r="AW5" t="s">
        <v>1171</v>
      </c>
      <c r="AX5" t="s">
        <v>1171</v>
      </c>
      <c r="AZ5" t="s">
        <v>1172</v>
      </c>
      <c r="BB5" t="s">
        <v>1173</v>
      </c>
      <c r="BC5" t="s">
        <v>1174</v>
      </c>
      <c r="BE5">
        <v>2003</v>
      </c>
      <c r="BF5" t="s">
        <v>1175</v>
      </c>
      <c r="BH5" t="s">
        <v>1176</v>
      </c>
      <c r="BJ5" t="s">
        <v>1176</v>
      </c>
      <c r="BL5" t="s">
        <v>1176</v>
      </c>
      <c r="BN5" t="s">
        <v>1177</v>
      </c>
      <c r="BQ5">
        <v>4213775</v>
      </c>
      <c r="BR5" t="s">
        <v>1070</v>
      </c>
      <c r="BT5">
        <v>64236871</v>
      </c>
      <c r="BU5" t="s">
        <v>522</v>
      </c>
      <c r="BW5">
        <v>4213767</v>
      </c>
      <c r="BX5" t="s">
        <v>1178</v>
      </c>
      <c r="BZ5">
        <v>64237509</v>
      </c>
      <c r="CA5" t="s">
        <v>1179</v>
      </c>
    </row>
    <row r="6" spans="1:79" ht="11.25" customHeight="1" x14ac:dyDescent="0.15">
      <c r="A6" t="s">
        <v>1180</v>
      </c>
      <c r="B6">
        <v>2004</v>
      </c>
      <c r="C6">
        <v>2026</v>
      </c>
      <c r="E6" t="s">
        <v>1181</v>
      </c>
      <c r="H6" t="s">
        <v>1182</v>
      </c>
      <c r="I6" t="s">
        <v>100</v>
      </c>
      <c r="J6" t="s">
        <v>1183</v>
      </c>
      <c r="N6" t="s">
        <v>1184</v>
      </c>
      <c r="O6" t="s">
        <v>1185</v>
      </c>
      <c r="R6" t="s">
        <v>1065</v>
      </c>
      <c r="T6" t="s">
        <v>1186</v>
      </c>
      <c r="U6" t="s">
        <v>1166</v>
      </c>
      <c r="V6">
        <v>5</v>
      </c>
      <c r="X6" t="s">
        <v>476</v>
      </c>
      <c r="Y6" t="s">
        <v>1187</v>
      </c>
      <c r="AH6" t="s">
        <v>1188</v>
      </c>
      <c r="AK6" t="s">
        <v>1189</v>
      </c>
      <c r="AM6" t="s">
        <v>1190</v>
      </c>
      <c r="AP6" t="s">
        <v>476</v>
      </c>
      <c r="AQ6" t="s">
        <v>476</v>
      </c>
      <c r="AU6" t="s">
        <v>1191</v>
      </c>
      <c r="AW6" t="s">
        <v>1192</v>
      </c>
      <c r="AX6" t="s">
        <v>1192</v>
      </c>
      <c r="BB6" t="s">
        <v>1193</v>
      </c>
      <c r="BC6" t="s">
        <v>1174</v>
      </c>
      <c r="BE6">
        <v>2004</v>
      </c>
      <c r="BF6" t="s">
        <v>1194</v>
      </c>
      <c r="BH6" t="s">
        <v>1195</v>
      </c>
      <c r="BJ6" t="s">
        <v>1196</v>
      </c>
      <c r="BL6" t="s">
        <v>1196</v>
      </c>
      <c r="BN6" t="s">
        <v>1197</v>
      </c>
      <c r="BQ6">
        <v>4213784</v>
      </c>
      <c r="BR6" t="s">
        <v>1105</v>
      </c>
      <c r="BT6">
        <v>64236872</v>
      </c>
      <c r="BU6" t="s">
        <v>527</v>
      </c>
      <c r="BW6">
        <v>4213768</v>
      </c>
      <c r="BX6" t="s">
        <v>547</v>
      </c>
      <c r="BZ6">
        <v>64237510</v>
      </c>
      <c r="CA6" t="s">
        <v>1198</v>
      </c>
    </row>
    <row r="7" spans="1:79" ht="11.25" customHeight="1" x14ac:dyDescent="0.15">
      <c r="A7" t="s">
        <v>1199</v>
      </c>
      <c r="B7">
        <v>2005</v>
      </c>
      <c r="E7" t="s">
        <v>1200</v>
      </c>
      <c r="H7" t="s">
        <v>1201</v>
      </c>
      <c r="I7" t="s">
        <v>79</v>
      </c>
      <c r="J7" t="s">
        <v>1202</v>
      </c>
      <c r="N7" t="s">
        <v>1203</v>
      </c>
      <c r="O7" t="s">
        <v>1204</v>
      </c>
      <c r="U7" t="s">
        <v>43</v>
      </c>
      <c r="V7" t="s">
        <v>79</v>
      </c>
      <c r="X7" t="s">
        <v>482</v>
      </c>
      <c r="Y7" t="s">
        <v>1165</v>
      </c>
      <c r="AH7" t="s">
        <v>1205</v>
      </c>
      <c r="AK7" t="s">
        <v>1206</v>
      </c>
      <c r="AM7" t="s">
        <v>1207</v>
      </c>
      <c r="AP7" t="s">
        <v>482</v>
      </c>
      <c r="AQ7" t="s">
        <v>482</v>
      </c>
      <c r="AU7" t="s">
        <v>1208</v>
      </c>
      <c r="AW7" t="s">
        <v>1209</v>
      </c>
      <c r="AX7" t="s">
        <v>1209</v>
      </c>
      <c r="AZ7" t="s">
        <v>1210</v>
      </c>
      <c r="BB7" t="s">
        <v>1211</v>
      </c>
      <c r="BC7" t="s">
        <v>1174</v>
      </c>
      <c r="BE7">
        <v>2005</v>
      </c>
      <c r="BF7" t="s">
        <v>1212</v>
      </c>
      <c r="BH7" t="s">
        <v>1213</v>
      </c>
      <c r="BJ7" t="s">
        <v>1195</v>
      </c>
      <c r="BL7" t="s">
        <v>1195</v>
      </c>
      <c r="BN7" t="s">
        <v>1214</v>
      </c>
      <c r="BQ7">
        <v>4213781</v>
      </c>
      <c r="BR7" t="s">
        <v>1098</v>
      </c>
      <c r="BT7">
        <v>64236873</v>
      </c>
      <c r="BU7" t="s">
        <v>532</v>
      </c>
      <c r="BW7">
        <v>4213769</v>
      </c>
      <c r="BX7" t="s">
        <v>1215</v>
      </c>
      <c r="BZ7">
        <v>64237511</v>
      </c>
      <c r="CA7" t="s">
        <v>562</v>
      </c>
    </row>
    <row r="8" spans="1:79" ht="11.25" customHeight="1" x14ac:dyDescent="0.15">
      <c r="A8" t="s">
        <v>1216</v>
      </c>
      <c r="B8">
        <v>2006</v>
      </c>
      <c r="E8" t="s">
        <v>1217</v>
      </c>
      <c r="I8" t="s">
        <v>80</v>
      </c>
      <c r="J8" t="s">
        <v>1218</v>
      </c>
      <c r="N8" t="s">
        <v>1219</v>
      </c>
      <c r="O8" t="s">
        <v>1220</v>
      </c>
      <c r="V8" t="s">
        <v>80</v>
      </c>
      <c r="X8" t="s">
        <v>488</v>
      </c>
      <c r="Y8" t="s">
        <v>1165</v>
      </c>
      <c r="AK8" t="s">
        <v>1221</v>
      </c>
      <c r="AP8" t="s">
        <v>488</v>
      </c>
      <c r="AQ8" t="s">
        <v>488</v>
      </c>
      <c r="AU8" t="s">
        <v>1222</v>
      </c>
      <c r="AW8" t="s">
        <v>1223</v>
      </c>
      <c r="AX8" t="s">
        <v>1223</v>
      </c>
      <c r="AZ8" t="s">
        <v>56</v>
      </c>
      <c r="BB8" t="s">
        <v>1224</v>
      </c>
      <c r="BC8" t="s">
        <v>1174</v>
      </c>
      <c r="BE8">
        <v>2006</v>
      </c>
      <c r="BF8" t="s">
        <v>1225</v>
      </c>
      <c r="BH8" t="s">
        <v>1226</v>
      </c>
      <c r="BJ8" t="s">
        <v>1227</v>
      </c>
      <c r="BL8" t="s">
        <v>1227</v>
      </c>
      <c r="BN8" t="s">
        <v>1228</v>
      </c>
      <c r="BQ8">
        <v>4213776</v>
      </c>
      <c r="BR8" t="s">
        <v>470</v>
      </c>
      <c r="BT8">
        <v>64236874</v>
      </c>
      <c r="BU8" t="s">
        <v>1229</v>
      </c>
      <c r="BW8">
        <v>4213770</v>
      </c>
      <c r="BX8" t="s">
        <v>1230</v>
      </c>
      <c r="BZ8">
        <v>64237512</v>
      </c>
      <c r="CA8" t="s">
        <v>557</v>
      </c>
    </row>
    <row r="9" spans="1:79" ht="11.25" customHeight="1" x14ac:dyDescent="0.15">
      <c r="A9" t="s">
        <v>1231</v>
      </c>
      <c r="B9">
        <v>2007</v>
      </c>
      <c r="E9" t="s">
        <v>1232</v>
      </c>
      <c r="G9" t="s">
        <v>1233</v>
      </c>
      <c r="H9" t="s">
        <v>1234</v>
      </c>
      <c r="I9" t="s">
        <v>102</v>
      </c>
      <c r="O9" t="s">
        <v>1235</v>
      </c>
      <c r="V9" t="s">
        <v>102</v>
      </c>
      <c r="X9" t="s">
        <v>497</v>
      </c>
      <c r="Y9" t="s">
        <v>1071</v>
      </c>
      <c r="Z9">
        <v>1</v>
      </c>
      <c r="AK9" t="s">
        <v>1236</v>
      </c>
      <c r="AP9" t="s">
        <v>1237</v>
      </c>
      <c r="AQ9" t="s">
        <v>1237</v>
      </c>
      <c r="AW9" t="s">
        <v>1238</v>
      </c>
      <c r="AX9" t="s">
        <v>1238</v>
      </c>
      <c r="AZ9" t="s">
        <v>1239</v>
      </c>
      <c r="BB9" t="s">
        <v>1240</v>
      </c>
      <c r="BC9" t="s">
        <v>1174</v>
      </c>
      <c r="BE9">
        <v>2007</v>
      </c>
      <c r="BF9" t="s">
        <v>1241</v>
      </c>
      <c r="BH9" t="s">
        <v>1242</v>
      </c>
      <c r="BJ9" t="s">
        <v>1243</v>
      </c>
      <c r="BL9" t="s">
        <v>1243</v>
      </c>
      <c r="BN9" t="s">
        <v>1244</v>
      </c>
      <c r="BQ9">
        <v>4213777</v>
      </c>
      <c r="BR9" t="s">
        <v>476</v>
      </c>
      <c r="BT9">
        <v>64236875</v>
      </c>
      <c r="BU9" t="s">
        <v>537</v>
      </c>
    </row>
    <row r="10" spans="1:79" ht="11.25" customHeight="1" x14ac:dyDescent="0.15">
      <c r="A10" t="s">
        <v>1245</v>
      </c>
      <c r="B10">
        <v>2008</v>
      </c>
      <c r="E10" t="s">
        <v>1246</v>
      </c>
      <c r="G10" t="s">
        <v>1247</v>
      </c>
      <c r="H10" t="s">
        <v>1248</v>
      </c>
      <c r="I10" t="s">
        <v>133</v>
      </c>
      <c r="J10" t="s">
        <v>1249</v>
      </c>
      <c r="K10" t="s">
        <v>1250</v>
      </c>
      <c r="O10" t="s">
        <v>1251</v>
      </c>
      <c r="V10" t="s">
        <v>133</v>
      </c>
      <c r="X10" t="s">
        <v>1252</v>
      </c>
      <c r="Y10" t="s">
        <v>1253</v>
      </c>
      <c r="AP10" t="s">
        <v>1252</v>
      </c>
      <c r="AQ10" t="s">
        <v>1252</v>
      </c>
      <c r="AW10" t="s">
        <v>1254</v>
      </c>
      <c r="AX10" t="s">
        <v>1254</v>
      </c>
      <c r="AZ10" t="s">
        <v>1255</v>
      </c>
      <c r="BB10" t="s">
        <v>1256</v>
      </c>
      <c r="BC10" t="s">
        <v>1174</v>
      </c>
      <c r="BE10">
        <v>2008</v>
      </c>
      <c r="BF10" t="s">
        <v>1257</v>
      </c>
      <c r="BH10" t="s">
        <v>1258</v>
      </c>
      <c r="BJ10" t="s">
        <v>1259</v>
      </c>
      <c r="BL10" t="s">
        <v>1259</v>
      </c>
      <c r="BN10" t="s">
        <v>1260</v>
      </c>
      <c r="BQ10">
        <v>4213778</v>
      </c>
      <c r="BR10" t="s">
        <v>482</v>
      </c>
      <c r="BT10">
        <v>64236876</v>
      </c>
      <c r="BU10" t="s">
        <v>517</v>
      </c>
    </row>
    <row r="11" spans="1:79" ht="11.25" customHeight="1" x14ac:dyDescent="0.15">
      <c r="A11" t="s">
        <v>1261</v>
      </c>
      <c r="B11">
        <v>2009</v>
      </c>
      <c r="E11" t="s">
        <v>1262</v>
      </c>
      <c r="G11" t="s">
        <v>1263</v>
      </c>
      <c r="H11" t="s">
        <v>1264</v>
      </c>
      <c r="I11" t="s">
        <v>106</v>
      </c>
      <c r="J11" t="s">
        <v>1265</v>
      </c>
      <c r="K11" t="s">
        <v>1266</v>
      </c>
      <c r="O11" t="s">
        <v>1267</v>
      </c>
      <c r="V11" t="s">
        <v>106</v>
      </c>
      <c r="X11" t="s">
        <v>1237</v>
      </c>
      <c r="Y11" t="s">
        <v>1268</v>
      </c>
      <c r="AP11" t="s">
        <v>497</v>
      </c>
      <c r="AQ11" t="s">
        <v>497</v>
      </c>
      <c r="AW11" t="s">
        <v>1269</v>
      </c>
      <c r="AX11" t="s">
        <v>1269</v>
      </c>
      <c r="AZ11" t="s">
        <v>1270</v>
      </c>
      <c r="BB11" t="s">
        <v>1271</v>
      </c>
      <c r="BC11" t="s">
        <v>1174</v>
      </c>
      <c r="BE11">
        <v>2009</v>
      </c>
      <c r="BF11" t="s">
        <v>1272</v>
      </c>
      <c r="BH11" t="s">
        <v>1273</v>
      </c>
      <c r="BJ11" t="s">
        <v>1242</v>
      </c>
      <c r="BL11" t="s">
        <v>1242</v>
      </c>
      <c r="BN11" t="s">
        <v>1274</v>
      </c>
      <c r="BQ11">
        <v>4213780</v>
      </c>
      <c r="BR11" t="s">
        <v>488</v>
      </c>
    </row>
    <row r="12" spans="1:79" ht="11.25" customHeight="1" x14ac:dyDescent="0.15">
      <c r="A12" t="s">
        <v>1275</v>
      </c>
      <c r="B12">
        <v>2010</v>
      </c>
      <c r="E12" t="s">
        <v>1276</v>
      </c>
      <c r="G12" t="s">
        <v>1264</v>
      </c>
      <c r="I12" t="s">
        <v>163</v>
      </c>
      <c r="J12" t="s">
        <v>1277</v>
      </c>
      <c r="K12" t="s">
        <v>1278</v>
      </c>
      <c r="O12" t="s">
        <v>1065</v>
      </c>
      <c r="V12" t="s">
        <v>163</v>
      </c>
      <c r="X12" t="s">
        <v>1279</v>
      </c>
      <c r="Y12" t="s">
        <v>1071</v>
      </c>
      <c r="AW12" t="s">
        <v>106</v>
      </c>
      <c r="AX12" t="s">
        <v>106</v>
      </c>
      <c r="AZ12" t="s">
        <v>1280</v>
      </c>
      <c r="BB12" t="s">
        <v>1281</v>
      </c>
      <c r="BC12" t="s">
        <v>1174</v>
      </c>
      <c r="BE12">
        <v>2010</v>
      </c>
      <c r="BF12" t="s">
        <v>1282</v>
      </c>
      <c r="BH12" t="s">
        <v>1283</v>
      </c>
      <c r="BJ12" t="s">
        <v>1284</v>
      </c>
      <c r="BL12" t="s">
        <v>1284</v>
      </c>
      <c r="BN12" t="s">
        <v>1285</v>
      </c>
      <c r="BQ12">
        <v>4213779</v>
      </c>
      <c r="BR12" t="s">
        <v>1237</v>
      </c>
    </row>
    <row r="13" spans="1:79" ht="11.25" customHeight="1" x14ac:dyDescent="0.15">
      <c r="A13" t="s">
        <v>1286</v>
      </c>
      <c r="B13">
        <v>2011</v>
      </c>
      <c r="E13" t="s">
        <v>1287</v>
      </c>
      <c r="I13" t="s">
        <v>109</v>
      </c>
      <c r="K13" t="s">
        <v>1236</v>
      </c>
      <c r="V13" t="s">
        <v>109</v>
      </c>
      <c r="AW13" t="s">
        <v>163</v>
      </c>
      <c r="AX13" t="s">
        <v>163</v>
      </c>
      <c r="BB13" t="s">
        <v>1288</v>
      </c>
      <c r="BC13" t="s">
        <v>1289</v>
      </c>
      <c r="BE13">
        <v>2011</v>
      </c>
      <c r="BF13" t="s">
        <v>1290</v>
      </c>
      <c r="BH13" t="s">
        <v>1291</v>
      </c>
      <c r="BJ13" t="s">
        <v>1273</v>
      </c>
      <c r="BL13" t="s">
        <v>1273</v>
      </c>
      <c r="BN13" t="s">
        <v>1292</v>
      </c>
      <c r="BQ13">
        <v>4213783</v>
      </c>
      <c r="BR13" t="s">
        <v>1252</v>
      </c>
    </row>
    <row r="14" spans="1:79" ht="11.25" customHeight="1" x14ac:dyDescent="0.15">
      <c r="A14" t="s">
        <v>1293</v>
      </c>
      <c r="B14">
        <v>2012</v>
      </c>
      <c r="I14" t="s">
        <v>112</v>
      </c>
      <c r="J14" t="s">
        <v>1294</v>
      </c>
      <c r="N14" t="s">
        <v>1295</v>
      </c>
      <c r="V14">
        <v>13</v>
      </c>
      <c r="X14" t="s">
        <v>1105</v>
      </c>
      <c r="Y14" t="s">
        <v>1071</v>
      </c>
      <c r="AW14" t="s">
        <v>109</v>
      </c>
      <c r="AX14" t="s">
        <v>109</v>
      </c>
      <c r="AZ14" t="s">
        <v>1296</v>
      </c>
      <c r="BB14" t="s">
        <v>1297</v>
      </c>
      <c r="BC14" t="s">
        <v>1289</v>
      </c>
      <c r="BE14">
        <v>2012</v>
      </c>
      <c r="BH14" t="s">
        <v>1214</v>
      </c>
      <c r="BJ14" t="s">
        <v>1298</v>
      </c>
      <c r="BL14" t="s">
        <v>1298</v>
      </c>
      <c r="BN14" t="s">
        <v>1299</v>
      </c>
      <c r="BQ14">
        <v>4213782</v>
      </c>
      <c r="BR14" t="s">
        <v>497</v>
      </c>
    </row>
    <row r="15" spans="1:79" ht="19.5" customHeight="1" x14ac:dyDescent="0.15">
      <c r="A15" t="s">
        <v>1300</v>
      </c>
      <c r="B15">
        <v>2013</v>
      </c>
      <c r="E15" t="s">
        <v>1301</v>
      </c>
      <c r="G15" t="s">
        <v>1302</v>
      </c>
      <c r="H15" t="s">
        <v>1303</v>
      </c>
      <c r="I15" t="s">
        <v>115</v>
      </c>
      <c r="J15" t="s">
        <v>1304</v>
      </c>
      <c r="N15" t="s">
        <v>1305</v>
      </c>
      <c r="AW15" t="s">
        <v>112</v>
      </c>
      <c r="AX15" t="s">
        <v>112</v>
      </c>
      <c r="AZ15" t="s">
        <v>56</v>
      </c>
      <c r="BB15" t="s">
        <v>1306</v>
      </c>
      <c r="BC15" t="s">
        <v>1289</v>
      </c>
      <c r="BE15">
        <v>2013</v>
      </c>
      <c r="BH15" t="s">
        <v>1228</v>
      </c>
      <c r="BJ15" t="s">
        <v>1307</v>
      </c>
      <c r="BL15" t="s">
        <v>1307</v>
      </c>
      <c r="BN15" t="s">
        <v>1308</v>
      </c>
    </row>
    <row r="16" spans="1:79" ht="21" customHeight="1" x14ac:dyDescent="0.15">
      <c r="A16" t="s">
        <v>1309</v>
      </c>
      <c r="B16">
        <v>2014</v>
      </c>
      <c r="E16" t="s">
        <v>1310</v>
      </c>
      <c r="G16" t="s">
        <v>1311</v>
      </c>
      <c r="H16" t="s">
        <v>1312</v>
      </c>
      <c r="I16" t="s">
        <v>118</v>
      </c>
      <c r="J16" t="s">
        <v>1088</v>
      </c>
      <c r="N16" t="s">
        <v>1313</v>
      </c>
      <c r="AW16" t="s">
        <v>115</v>
      </c>
      <c r="AX16" t="s">
        <v>115</v>
      </c>
      <c r="AZ16" t="s">
        <v>1239</v>
      </c>
      <c r="BB16" t="s">
        <v>1314</v>
      </c>
      <c r="BC16" t="s">
        <v>1289</v>
      </c>
      <c r="BE16">
        <v>2014</v>
      </c>
      <c r="BH16" t="s">
        <v>1244</v>
      </c>
      <c r="BJ16" t="s">
        <v>1315</v>
      </c>
      <c r="BL16" t="s">
        <v>1315</v>
      </c>
      <c r="BN16" t="s">
        <v>1316</v>
      </c>
    </row>
    <row r="17" spans="1:82" ht="21" customHeight="1" x14ac:dyDescent="0.15">
      <c r="A17" t="s">
        <v>1317</v>
      </c>
      <c r="B17">
        <v>2015</v>
      </c>
      <c r="G17" t="s">
        <v>1264</v>
      </c>
      <c r="H17" t="s">
        <v>1264</v>
      </c>
      <c r="I17" t="s">
        <v>169</v>
      </c>
      <c r="N17" t="s">
        <v>1318</v>
      </c>
      <c r="AW17" t="s">
        <v>118</v>
      </c>
      <c r="AX17" t="s">
        <v>118</v>
      </c>
      <c r="AZ17" t="s">
        <v>1319</v>
      </c>
      <c r="BB17" t="s">
        <v>1320</v>
      </c>
      <c r="BC17" t="s">
        <v>1174</v>
      </c>
      <c r="BE17">
        <v>2015</v>
      </c>
      <c r="BH17" t="s">
        <v>1260</v>
      </c>
      <c r="BJ17" t="s">
        <v>1321</v>
      </c>
      <c r="BL17" t="s">
        <v>1321</v>
      </c>
      <c r="BN17" t="s">
        <v>1322</v>
      </c>
      <c r="BR17" t="s">
        <v>1116</v>
      </c>
      <c r="BU17" t="s">
        <v>1323</v>
      </c>
      <c r="BX17" t="s">
        <v>1324</v>
      </c>
      <c r="CA17" t="s">
        <v>1325</v>
      </c>
      <c r="CD17" t="s">
        <v>1326</v>
      </c>
    </row>
    <row r="18" spans="1:82" ht="21" customHeight="1" x14ac:dyDescent="0.15">
      <c r="A18" t="s">
        <v>1327</v>
      </c>
      <c r="B18">
        <v>2016</v>
      </c>
      <c r="I18" t="s">
        <v>241</v>
      </c>
      <c r="N18" t="s">
        <v>1328</v>
      </c>
      <c r="AW18" t="s">
        <v>169</v>
      </c>
      <c r="AX18" t="s">
        <v>169</v>
      </c>
      <c r="BB18" t="s">
        <v>1329</v>
      </c>
      <c r="BC18" t="s">
        <v>1174</v>
      </c>
      <c r="BE18">
        <v>2016</v>
      </c>
      <c r="BH18" t="s">
        <v>1274</v>
      </c>
      <c r="BJ18" t="s">
        <v>1330</v>
      </c>
      <c r="BL18" t="s">
        <v>1330</v>
      </c>
      <c r="BN18" t="s">
        <v>1331</v>
      </c>
      <c r="BQ18" t="s">
        <v>1146</v>
      </c>
      <c r="BR18" t="s">
        <v>1147</v>
      </c>
      <c r="BT18" t="s">
        <v>1332</v>
      </c>
      <c r="BU18" t="s">
        <v>1333</v>
      </c>
      <c r="BW18" t="s">
        <v>1334</v>
      </c>
      <c r="BX18" t="s">
        <v>1335</v>
      </c>
      <c r="BZ18" t="s">
        <v>1336</v>
      </c>
      <c r="CA18" t="s">
        <v>1337</v>
      </c>
      <c r="CC18" t="s">
        <v>1338</v>
      </c>
      <c r="CD18" t="s">
        <v>1339</v>
      </c>
    </row>
    <row r="19" spans="1:82" ht="21" customHeight="1" x14ac:dyDescent="0.15">
      <c r="A19" t="s">
        <v>1340</v>
      </c>
      <c r="B19">
        <v>2017</v>
      </c>
      <c r="I19" t="s">
        <v>173</v>
      </c>
      <c r="N19" t="s">
        <v>1341</v>
      </c>
      <c r="AW19" t="s">
        <v>241</v>
      </c>
      <c r="AX19" t="s">
        <v>241</v>
      </c>
      <c r="AZ19" t="s">
        <v>1342</v>
      </c>
      <c r="BB19" t="s">
        <v>1343</v>
      </c>
      <c r="BC19" t="s">
        <v>1174</v>
      </c>
      <c r="BE19">
        <v>2017</v>
      </c>
      <c r="BH19" t="s">
        <v>1344</v>
      </c>
      <c r="BJ19" t="s">
        <v>1345</v>
      </c>
      <c r="BL19" t="s">
        <v>1345</v>
      </c>
      <c r="BQ19">
        <v>4190064</v>
      </c>
      <c r="BR19" t="s">
        <v>1346</v>
      </c>
      <c r="BT19">
        <v>64235586</v>
      </c>
      <c r="BU19" t="s">
        <v>1347</v>
      </c>
      <c r="BW19">
        <v>4189706</v>
      </c>
      <c r="BX19" t="s">
        <v>1348</v>
      </c>
      <c r="BZ19">
        <v>64235589</v>
      </c>
      <c r="CA19" t="s">
        <v>1349</v>
      </c>
      <c r="CC19">
        <v>4189708</v>
      </c>
      <c r="CD19" t="s">
        <v>1350</v>
      </c>
    </row>
    <row r="20" spans="1:82" ht="21" customHeight="1" x14ac:dyDescent="0.15">
      <c r="A20" t="s">
        <v>1351</v>
      </c>
      <c r="B20">
        <v>2018</v>
      </c>
      <c r="I20" t="s">
        <v>259</v>
      </c>
      <c r="N20" t="s">
        <v>1352</v>
      </c>
      <c r="AW20" t="s">
        <v>173</v>
      </c>
      <c r="AX20" t="s">
        <v>173</v>
      </c>
      <c r="AZ20" t="s">
        <v>1353</v>
      </c>
      <c r="BB20" t="s">
        <v>1354</v>
      </c>
      <c r="BC20" t="s">
        <v>1289</v>
      </c>
      <c r="BE20">
        <v>2018</v>
      </c>
      <c r="BH20" t="s">
        <v>1285</v>
      </c>
      <c r="BJ20" t="s">
        <v>1214</v>
      </c>
      <c r="BL20" t="s">
        <v>1214</v>
      </c>
      <c r="BQ20">
        <v>4190065</v>
      </c>
      <c r="BR20" t="s">
        <v>1355</v>
      </c>
      <c r="BT20">
        <v>64235587</v>
      </c>
      <c r="BU20" t="s">
        <v>1356</v>
      </c>
      <c r="BW20">
        <v>4189705</v>
      </c>
      <c r="BX20" t="s">
        <v>1357</v>
      </c>
      <c r="BZ20">
        <v>64235590</v>
      </c>
      <c r="CA20" t="s">
        <v>1358</v>
      </c>
      <c r="CC20">
        <v>4189709</v>
      </c>
      <c r="CD20" t="s">
        <v>1359</v>
      </c>
    </row>
    <row r="21" spans="1:82" ht="21" customHeight="1" x14ac:dyDescent="0.15">
      <c r="A21" t="s">
        <v>1360</v>
      </c>
      <c r="B21">
        <v>2019</v>
      </c>
      <c r="I21" t="s">
        <v>177</v>
      </c>
      <c r="N21" t="s">
        <v>1361</v>
      </c>
      <c r="AW21" t="s">
        <v>259</v>
      </c>
      <c r="AX21" t="s">
        <v>259</v>
      </c>
      <c r="AZ21" t="s">
        <v>1362</v>
      </c>
      <c r="BB21" t="s">
        <v>1363</v>
      </c>
      <c r="BC21" t="s">
        <v>1174</v>
      </c>
      <c r="BE21">
        <v>2019</v>
      </c>
      <c r="BH21" t="s">
        <v>1292</v>
      </c>
      <c r="BJ21" t="s">
        <v>1228</v>
      </c>
      <c r="BL21" t="s">
        <v>1228</v>
      </c>
      <c r="BQ21">
        <v>4190066</v>
      </c>
      <c r="BR21" t="s">
        <v>1364</v>
      </c>
      <c r="BT21">
        <v>64235585</v>
      </c>
      <c r="BU21" t="s">
        <v>1365</v>
      </c>
      <c r="BW21">
        <v>4189707</v>
      </c>
      <c r="BX21" t="s">
        <v>1366</v>
      </c>
      <c r="BZ21">
        <v>64235591</v>
      </c>
      <c r="CA21" t="s">
        <v>1367</v>
      </c>
      <c r="CC21">
        <v>4189710</v>
      </c>
      <c r="CD21" t="s">
        <v>1368</v>
      </c>
    </row>
    <row r="22" spans="1:82" ht="21" customHeight="1" x14ac:dyDescent="0.15">
      <c r="A22" t="s">
        <v>1369</v>
      </c>
      <c r="B22">
        <v>2020</v>
      </c>
      <c r="N22" t="s">
        <v>1370</v>
      </c>
      <c r="AW22" t="s">
        <v>177</v>
      </c>
      <c r="AX22" t="s">
        <v>177</v>
      </c>
      <c r="AZ22" t="s">
        <v>1371</v>
      </c>
      <c r="BB22" t="s">
        <v>1372</v>
      </c>
      <c r="BC22" t="s">
        <v>1174</v>
      </c>
      <c r="BE22">
        <v>2020</v>
      </c>
      <c r="BH22" t="s">
        <v>1299</v>
      </c>
      <c r="BJ22" t="s">
        <v>1244</v>
      </c>
      <c r="BL22" t="s">
        <v>1244</v>
      </c>
      <c r="BQ22">
        <v>4190067</v>
      </c>
      <c r="BR22" t="s">
        <v>1373</v>
      </c>
      <c r="CC22">
        <v>4189711</v>
      </c>
      <c r="CD22" t="s">
        <v>586</v>
      </c>
    </row>
    <row r="23" spans="1:82" ht="21" customHeight="1" x14ac:dyDescent="0.15">
      <c r="A23" t="s">
        <v>1374</v>
      </c>
      <c r="B23">
        <v>2021</v>
      </c>
      <c r="AW23" t="s">
        <v>180</v>
      </c>
      <c r="AX23" t="s">
        <v>180</v>
      </c>
      <c r="AZ23" t="s">
        <v>1375</v>
      </c>
      <c r="BB23" t="s">
        <v>1376</v>
      </c>
      <c r="BC23" t="s">
        <v>1081</v>
      </c>
      <c r="BE23">
        <v>2021</v>
      </c>
      <c r="BH23" t="s">
        <v>1308</v>
      </c>
      <c r="BJ23" t="s">
        <v>1260</v>
      </c>
      <c r="BL23" t="s">
        <v>1260</v>
      </c>
      <c r="BQ23">
        <v>4190068</v>
      </c>
      <c r="BR23" t="s">
        <v>1377</v>
      </c>
      <c r="CC23">
        <v>5110778</v>
      </c>
      <c r="CD23" t="s">
        <v>1378</v>
      </c>
    </row>
    <row r="24" spans="1:82" ht="21" customHeight="1" x14ac:dyDescent="0.15">
      <c r="A24" t="s">
        <v>1379</v>
      </c>
      <c r="B24">
        <v>2022</v>
      </c>
      <c r="AW24" t="s">
        <v>272</v>
      </c>
      <c r="AX24" t="s">
        <v>272</v>
      </c>
      <c r="AZ24" t="s">
        <v>1380</v>
      </c>
      <c r="BB24" t="s">
        <v>1381</v>
      </c>
      <c r="BC24" t="s">
        <v>1382</v>
      </c>
      <c r="BE24">
        <v>2022</v>
      </c>
      <c r="BH24" t="s">
        <v>1316</v>
      </c>
      <c r="BJ24" t="s">
        <v>1274</v>
      </c>
      <c r="BL24" t="s">
        <v>1274</v>
      </c>
      <c r="BQ24">
        <v>4190069</v>
      </c>
      <c r="BR24" t="s">
        <v>1383</v>
      </c>
    </row>
    <row r="25" spans="1:82" ht="11.25" customHeight="1" x14ac:dyDescent="0.15">
      <c r="A25" t="s">
        <v>1384</v>
      </c>
      <c r="B25">
        <v>2023</v>
      </c>
      <c r="AW25" t="s">
        <v>183</v>
      </c>
      <c r="AX25" t="s">
        <v>183</v>
      </c>
      <c r="AZ25" t="s">
        <v>1385</v>
      </c>
      <c r="BB25" t="s">
        <v>1386</v>
      </c>
      <c r="BC25" t="s">
        <v>1382</v>
      </c>
      <c r="BE25">
        <v>2023</v>
      </c>
      <c r="BH25" t="s">
        <v>1322</v>
      </c>
      <c r="BJ25" t="s">
        <v>1344</v>
      </c>
      <c r="BL25" t="s">
        <v>1344</v>
      </c>
      <c r="BQ25">
        <v>4190070</v>
      </c>
      <c r="BR25" t="s">
        <v>1387</v>
      </c>
    </row>
    <row r="26" spans="1:82" ht="11.25" customHeight="1" x14ac:dyDescent="0.15">
      <c r="A26" t="s">
        <v>1388</v>
      </c>
      <c r="B26">
        <v>2024</v>
      </c>
      <c r="J26" t="s">
        <v>1389</v>
      </c>
      <c r="AX26" t="s">
        <v>281</v>
      </c>
      <c r="AZ26" t="s">
        <v>1267</v>
      </c>
      <c r="BB26" t="s">
        <v>1390</v>
      </c>
      <c r="BC26" t="s">
        <v>1382</v>
      </c>
      <c r="BE26">
        <v>2024</v>
      </c>
      <c r="BH26" t="s">
        <v>1331</v>
      </c>
      <c r="BJ26" t="s">
        <v>1285</v>
      </c>
      <c r="BL26" t="s">
        <v>1285</v>
      </c>
      <c r="BQ26">
        <v>4190071</v>
      </c>
      <c r="BR26" t="s">
        <v>1391</v>
      </c>
    </row>
    <row r="27" spans="1:82" ht="11.25" customHeight="1" x14ac:dyDescent="0.15">
      <c r="A27" t="s">
        <v>1392</v>
      </c>
      <c r="B27">
        <v>2025</v>
      </c>
      <c r="J27" t="s">
        <v>90</v>
      </c>
      <c r="AX27" t="s">
        <v>286</v>
      </c>
      <c r="BB27" t="s">
        <v>1393</v>
      </c>
      <c r="BC27" t="s">
        <v>1382</v>
      </c>
      <c r="BE27">
        <v>2025</v>
      </c>
      <c r="BH27" t="s">
        <v>4</v>
      </c>
      <c r="BJ27" t="s">
        <v>1292</v>
      </c>
      <c r="BL27" t="s">
        <v>1292</v>
      </c>
      <c r="BN27" t="s">
        <v>4</v>
      </c>
      <c r="BQ27">
        <v>4190072</v>
      </c>
      <c r="BR27" t="s">
        <v>1394</v>
      </c>
    </row>
    <row r="28" spans="1:82" ht="11.25" customHeight="1" x14ac:dyDescent="0.15">
      <c r="A28" t="s">
        <v>1395</v>
      </c>
      <c r="H28" t="s">
        <v>1396</v>
      </c>
      <c r="AX28" t="s">
        <v>303</v>
      </c>
      <c r="AZ28" t="s">
        <v>1397</v>
      </c>
      <c r="BB28" t="s">
        <v>1398</v>
      </c>
      <c r="BC28" t="s">
        <v>1399</v>
      </c>
      <c r="BE28">
        <v>2026</v>
      </c>
      <c r="BH28" t="s">
        <v>4</v>
      </c>
      <c r="BJ28" t="s">
        <v>1299</v>
      </c>
      <c r="BL28" t="s">
        <v>1299</v>
      </c>
      <c r="BN28" t="s">
        <v>4</v>
      </c>
      <c r="BQ28">
        <v>4190073</v>
      </c>
      <c r="BR28" t="s">
        <v>1400</v>
      </c>
    </row>
    <row r="29" spans="1:82" ht="11.25" customHeight="1" x14ac:dyDescent="0.15">
      <c r="A29" t="s">
        <v>1401</v>
      </c>
      <c r="D29" t="s">
        <v>1402</v>
      </c>
      <c r="E29" t="str">
        <f>IF(TEMPLATE_GROUP="","",INDEX(StartDateList,MATCH(TEMPLATE_GROUP,CodeTemplateList,0),1))</f>
        <v>01.01.2023</v>
      </c>
      <c r="F29" t="str">
        <f>IF(TEMPLATE_GROUP="","",INDEX(EndDateList,MATCH(TEMPLATE_GROUP,CodeTemplateList,0),1))</f>
        <v>31.12.2023</v>
      </c>
      <c r="H29" t="s">
        <v>1403</v>
      </c>
      <c r="AX29" t="s">
        <v>187</v>
      </c>
      <c r="AZ29" t="s">
        <v>1066</v>
      </c>
      <c r="BB29" t="s">
        <v>1267</v>
      </c>
      <c r="BE29">
        <v>2027</v>
      </c>
      <c r="BJ29" t="s">
        <v>1308</v>
      </c>
      <c r="BL29" t="s">
        <v>1308</v>
      </c>
    </row>
    <row r="30" spans="1:82" ht="11.25" customHeight="1" x14ac:dyDescent="0.15">
      <c r="A30" t="s">
        <v>1404</v>
      </c>
      <c r="AX30" t="s">
        <v>191</v>
      </c>
      <c r="AZ30" t="s">
        <v>1094</v>
      </c>
      <c r="BE30">
        <v>2028</v>
      </c>
      <c r="BJ30" t="s">
        <v>1405</v>
      </c>
      <c r="BL30" t="s">
        <v>1405</v>
      </c>
    </row>
    <row r="31" spans="1:82" ht="12.75" customHeight="1" x14ac:dyDescent="0.15">
      <c r="A31" t="s">
        <v>1406</v>
      </c>
      <c r="AX31" t="s">
        <v>194</v>
      </c>
      <c r="AZ31" t="s">
        <v>1407</v>
      </c>
      <c r="BE31">
        <v>2029</v>
      </c>
      <c r="BJ31" t="s">
        <v>1408</v>
      </c>
      <c r="BL31" t="s">
        <v>1408</v>
      </c>
    </row>
    <row r="32" spans="1:82" ht="11.25" customHeight="1" x14ac:dyDescent="0.15">
      <c r="A32" t="s">
        <v>1409</v>
      </c>
      <c r="D32" t="s">
        <v>1410</v>
      </c>
      <c r="E32" t="str">
        <f>IF(TEMPLATE_GROUP="","",INDEX(StartDateList,MATCH(TEMPLATE_GROUP,CodeTemplateList,0),1))</f>
        <v>01.01.2023</v>
      </c>
      <c r="F32" t="str">
        <f>IF(TEMPLATE_GROUP="","",INDEX(EndDateList,MATCH(TEMPLATE_GROUP,CodeTemplateList,0),1))</f>
        <v>31.12.2023</v>
      </c>
      <c r="H32" t="s">
        <v>1411</v>
      </c>
      <c r="O32" t="s">
        <v>1064</v>
      </c>
      <c r="AX32" t="s">
        <v>197</v>
      </c>
      <c r="AZ32" t="s">
        <v>1162</v>
      </c>
      <c r="BE32">
        <v>2030</v>
      </c>
      <c r="BJ32" t="s">
        <v>1316</v>
      </c>
      <c r="BL32" t="s">
        <v>1316</v>
      </c>
    </row>
    <row r="33" spans="1:66" ht="11.25" customHeight="1" x14ac:dyDescent="0.15">
      <c r="A33" t="s">
        <v>1412</v>
      </c>
      <c r="O33" t="s">
        <v>1091</v>
      </c>
      <c r="AX33" t="s">
        <v>344</v>
      </c>
      <c r="AZ33" t="s">
        <v>1065</v>
      </c>
      <c r="BE33">
        <v>2031</v>
      </c>
      <c r="BJ33" t="s">
        <v>1322</v>
      </c>
      <c r="BL33" t="s">
        <v>1322</v>
      </c>
    </row>
    <row r="34" spans="1:66" ht="11.25" customHeight="1" x14ac:dyDescent="0.15">
      <c r="A34" t="s">
        <v>1413</v>
      </c>
      <c r="O34" t="s">
        <v>1127</v>
      </c>
      <c r="AX34" t="s">
        <v>200</v>
      </c>
      <c r="BE34">
        <v>2032</v>
      </c>
      <c r="BJ34" t="s">
        <v>1331</v>
      </c>
      <c r="BL34" t="s">
        <v>1331</v>
      </c>
    </row>
    <row r="35" spans="1:66" ht="11.25" customHeight="1" x14ac:dyDescent="0.15">
      <c r="A35" t="s">
        <v>1414</v>
      </c>
      <c r="O35" t="s">
        <v>1160</v>
      </c>
      <c r="AX35" t="s">
        <v>203</v>
      </c>
      <c r="AZ35" t="s">
        <v>1415</v>
      </c>
      <c r="BE35">
        <v>2033</v>
      </c>
      <c r="BL35" t="s">
        <v>1416</v>
      </c>
    </row>
    <row r="36" spans="1:66" ht="11.25" customHeight="1" x14ac:dyDescent="0.15">
      <c r="A36" t="s">
        <v>1417</v>
      </c>
      <c r="D36" t="s">
        <v>1418</v>
      </c>
      <c r="E36" t="s">
        <v>693</v>
      </c>
      <c r="F36" t="str">
        <f>INDEX(E37:E41,MATCH(TEMPLATE_SPHERE,F37:F41,0))</f>
        <v>теплоснабжения</v>
      </c>
      <c r="G36" t="str">
        <f>INDEX(G37:G41,MATCH(TEMPLATE_SPHERE,F37:F41,0))</f>
        <v>теплоснабжение</v>
      </c>
      <c r="O36" t="s">
        <v>1185</v>
      </c>
      <c r="AX36" t="s">
        <v>206</v>
      </c>
      <c r="AZ36" t="s">
        <v>1065</v>
      </c>
      <c r="BE36">
        <v>2034</v>
      </c>
      <c r="BL36" t="s">
        <v>1419</v>
      </c>
    </row>
    <row r="37" spans="1:66" ht="11.25" customHeight="1" x14ac:dyDescent="0.15">
      <c r="A37" t="s">
        <v>1420</v>
      </c>
      <c r="E37" t="s">
        <v>1421</v>
      </c>
      <c r="F37" t="s">
        <v>693</v>
      </c>
      <c r="G37" t="s">
        <v>1422</v>
      </c>
      <c r="O37" t="s">
        <v>1204</v>
      </c>
      <c r="AX37" t="s">
        <v>209</v>
      </c>
      <c r="AZ37" t="s">
        <v>1093</v>
      </c>
      <c r="BE37">
        <v>2035</v>
      </c>
    </row>
    <row r="38" spans="1:66" ht="11.25" customHeight="1" x14ac:dyDescent="0.15">
      <c r="A38" t="s">
        <v>1423</v>
      </c>
      <c r="E38" t="s">
        <v>1424</v>
      </c>
      <c r="F38" t="s">
        <v>694</v>
      </c>
      <c r="G38" t="s">
        <v>1425</v>
      </c>
      <c r="O38" t="s">
        <v>1220</v>
      </c>
      <c r="AX38" t="s">
        <v>1426</v>
      </c>
      <c r="AZ38" t="s">
        <v>1128</v>
      </c>
      <c r="BE38">
        <v>2036</v>
      </c>
      <c r="BH38" t="s">
        <v>1427</v>
      </c>
      <c r="BJ38" t="s">
        <v>1428</v>
      </c>
      <c r="BL38" t="s">
        <v>1429</v>
      </c>
      <c r="BN38" t="s">
        <v>1430</v>
      </c>
    </row>
    <row r="39" spans="1:66" ht="11.25" customHeight="1" x14ac:dyDescent="0.15">
      <c r="A39" t="s">
        <v>1431</v>
      </c>
      <c r="E39" t="s">
        <v>1432</v>
      </c>
      <c r="F39" t="s">
        <v>695</v>
      </c>
      <c r="G39" t="s">
        <v>1433</v>
      </c>
      <c r="O39" t="s">
        <v>1235</v>
      </c>
      <c r="AX39" t="s">
        <v>213</v>
      </c>
      <c r="AZ39" t="s">
        <v>1161</v>
      </c>
      <c r="BE39">
        <v>2037</v>
      </c>
      <c r="BH39" t="s">
        <v>1434</v>
      </c>
      <c r="BJ39" t="s">
        <v>1434</v>
      </c>
      <c r="BL39" t="s">
        <v>1434</v>
      </c>
      <c r="BN39" t="s">
        <v>1435</v>
      </c>
    </row>
    <row r="40" spans="1:66" ht="11.25" customHeight="1" x14ac:dyDescent="0.15">
      <c r="A40" t="s">
        <v>1436</v>
      </c>
      <c r="E40" t="s">
        <v>1437</v>
      </c>
      <c r="F40" t="s">
        <v>696</v>
      </c>
      <c r="G40" t="s">
        <v>1438</v>
      </c>
      <c r="O40" t="s">
        <v>1251</v>
      </c>
      <c r="AX40" t="s">
        <v>122</v>
      </c>
      <c r="BE40">
        <v>2038</v>
      </c>
      <c r="BH40" t="s">
        <v>1439</v>
      </c>
      <c r="BJ40" t="s">
        <v>1440</v>
      </c>
      <c r="BL40" t="s">
        <v>1440</v>
      </c>
      <c r="BN40" t="s">
        <v>1441</v>
      </c>
    </row>
    <row r="41" spans="1:66" ht="11.25" customHeight="1" x14ac:dyDescent="0.15">
      <c r="A41" t="s">
        <v>1442</v>
      </c>
      <c r="E41" t="s">
        <v>1443</v>
      </c>
      <c r="F41" t="s">
        <v>697</v>
      </c>
      <c r="G41" t="s">
        <v>1443</v>
      </c>
      <c r="O41" t="s">
        <v>1267</v>
      </c>
      <c r="AX41" t="s">
        <v>217</v>
      </c>
      <c r="AZ41" t="s">
        <v>1444</v>
      </c>
      <c r="BE41">
        <v>2039</v>
      </c>
      <c r="BH41" t="s">
        <v>1445</v>
      </c>
      <c r="BJ41" t="s">
        <v>1446</v>
      </c>
      <c r="BL41" t="s">
        <v>1446</v>
      </c>
      <c r="BN41" t="s">
        <v>1447</v>
      </c>
    </row>
    <row r="42" spans="1:66" ht="11.25" customHeight="1" x14ac:dyDescent="0.15">
      <c r="A42" t="s">
        <v>1448</v>
      </c>
      <c r="AX42" t="s">
        <v>221</v>
      </c>
      <c r="AZ42" t="s">
        <v>1064</v>
      </c>
      <c r="BE42">
        <v>2040</v>
      </c>
      <c r="BH42" t="s">
        <v>1449</v>
      </c>
      <c r="BJ42" t="s">
        <v>1450</v>
      </c>
      <c r="BL42" t="s">
        <v>1450</v>
      </c>
      <c r="BN42" t="s">
        <v>1451</v>
      </c>
    </row>
    <row r="43" spans="1:66" ht="11.25" customHeight="1" x14ac:dyDescent="0.15">
      <c r="A43" t="s">
        <v>1452</v>
      </c>
      <c r="AX43" t="s">
        <v>224</v>
      </c>
      <c r="AZ43" t="s">
        <v>1091</v>
      </c>
      <c r="BE43">
        <v>2041</v>
      </c>
      <c r="BH43" t="s">
        <v>1453</v>
      </c>
      <c r="BJ43" t="s">
        <v>1445</v>
      </c>
      <c r="BL43" t="s">
        <v>1445</v>
      </c>
      <c r="BN43" t="s">
        <v>1454</v>
      </c>
    </row>
    <row r="44" spans="1:66" ht="11.25" customHeight="1" x14ac:dyDescent="0.15">
      <c r="A44" t="s">
        <v>1455</v>
      </c>
      <c r="I44" t="s">
        <v>1456</v>
      </c>
      <c r="J44" t="s">
        <v>1457</v>
      </c>
      <c r="K44" t="s">
        <v>1458</v>
      </c>
      <c r="AX44" t="s">
        <v>227</v>
      </c>
      <c r="AZ44" t="s">
        <v>1127</v>
      </c>
      <c r="BE44">
        <v>2042</v>
      </c>
      <c r="BH44" t="s">
        <v>1459</v>
      </c>
      <c r="BJ44" t="s">
        <v>1449</v>
      </c>
      <c r="BL44" t="s">
        <v>1449</v>
      </c>
      <c r="BN44" t="s">
        <v>1460</v>
      </c>
    </row>
    <row r="45" spans="1:66" ht="11.25" customHeight="1" x14ac:dyDescent="0.15">
      <c r="A45" t="s">
        <v>1461</v>
      </c>
      <c r="D45" t="s">
        <v>1462</v>
      </c>
      <c r="E45" t="s">
        <v>1463</v>
      </c>
      <c r="F45" t="s">
        <v>1464</v>
      </c>
      <c r="G45" t="s">
        <v>1465</v>
      </c>
      <c r="H45" t="s">
        <v>1466</v>
      </c>
      <c r="I45" t="b">
        <f>INDEX(PeriodIsEmptyList,MATCH(TEMPLATE_GROUP,CodeTemplateList,0),1)</f>
        <v>0</v>
      </c>
      <c r="J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t="s">
        <v>238</v>
      </c>
      <c r="AZ45" t="s">
        <v>1160</v>
      </c>
      <c r="BE45">
        <v>2043</v>
      </c>
      <c r="BH45" t="s">
        <v>1467</v>
      </c>
      <c r="BJ45" t="s">
        <v>1468</v>
      </c>
      <c r="BL45" t="s">
        <v>1468</v>
      </c>
      <c r="BN45" t="s">
        <v>1469</v>
      </c>
    </row>
    <row r="46" spans="1:66" ht="11.25" customHeight="1" x14ac:dyDescent="0.15">
      <c r="A46" t="s">
        <v>1</v>
      </c>
      <c r="E46" t="s">
        <v>9</v>
      </c>
      <c r="F46" t="s">
        <v>1470</v>
      </c>
      <c r="I46" t="b">
        <f>IF(TITLE_DATE_FIL="",TRUE,FALSE)</f>
        <v>1</v>
      </c>
      <c r="J46" t="str">
        <f>"Общая информация о регулируемой организации ("&amp;TEMPLATE_SPHERE_RUS&amp;")"</f>
        <v>Общая информация о регулируемой организации (теплоснабжения)</v>
      </c>
      <c r="AX46" t="s">
        <v>229</v>
      </c>
      <c r="AZ46" t="s">
        <v>1185</v>
      </c>
      <c r="BE46">
        <v>2044</v>
      </c>
      <c r="BH46" t="s">
        <v>1447</v>
      </c>
      <c r="BJ46" t="s">
        <v>1471</v>
      </c>
      <c r="BL46" t="s">
        <v>1471</v>
      </c>
      <c r="BN46" t="s">
        <v>1472</v>
      </c>
    </row>
    <row r="47" spans="1:66" ht="11.25" customHeight="1" x14ac:dyDescent="0.15">
      <c r="A47" t="s">
        <v>1473</v>
      </c>
      <c r="E47" t="s">
        <v>15</v>
      </c>
      <c r="F47" t="s">
        <v>1474</v>
      </c>
      <c r="G47" t="str">
        <f>IF(f_year="","",IF(LEN(f_quart)=0,"",IF(f_quart="I квартал","01.01."&amp;f_year,IF(f_quart="II квартал","01.04."&amp;f_year,(IF(f_quart="III квартал","01.07."&amp;f_year,"01.10."&amp;f_year))))))</f>
        <v/>
      </c>
      <c r="H47" t="str">
        <f>IF(f_year="","",IF(LEN(f_quart)=0,"",IF(f_quart="I квартал","31.03."&amp;f_year,IF(f_quart="II квартал","30.06."&amp;f_year,(IF(f_quart="III квартал","30.09."&amp;f_year,"31.12."&amp;f_year))))))</f>
        <v/>
      </c>
      <c r="I47" t="b">
        <f>IF(OR(f_year="",f_quart=""),TRUE,FALSE)</f>
        <v>1</v>
      </c>
      <c r="J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AX47" t="s">
        <v>232</v>
      </c>
      <c r="AZ47" t="s">
        <v>1204</v>
      </c>
      <c r="BE47">
        <v>2045</v>
      </c>
      <c r="BH47" t="s">
        <v>1451</v>
      </c>
      <c r="BJ47" t="s">
        <v>1475</v>
      </c>
      <c r="BL47" t="s">
        <v>1475</v>
      </c>
      <c r="BN47" t="s">
        <v>1476</v>
      </c>
    </row>
    <row r="48" spans="1:66" ht="11.25" customHeight="1" x14ac:dyDescent="0.15">
      <c r="A48" t="s">
        <v>1477</v>
      </c>
      <c r="E48" t="s">
        <v>787</v>
      </c>
      <c r="F48" t="s">
        <v>1463</v>
      </c>
      <c r="G48" t="str">
        <f>IF(f_year="","","01.01."&amp;f_year)</f>
        <v>01.01.2023</v>
      </c>
      <c r="H48" t="str">
        <f>IF(f_year="","","31.12."&amp;f_year)</f>
        <v>31.12.2023</v>
      </c>
      <c r="I48" t="b">
        <f>IF(f_year="",TRUE,FALSE)</f>
        <v>0</v>
      </c>
      <c r="J48" t="s">
        <v>1478</v>
      </c>
      <c r="AX48" t="s">
        <v>235</v>
      </c>
      <c r="AZ48" t="s">
        <v>1220</v>
      </c>
      <c r="BE48">
        <v>2046</v>
      </c>
      <c r="BH48" t="s">
        <v>1454</v>
      </c>
      <c r="BJ48" t="s">
        <v>1479</v>
      </c>
      <c r="BL48" t="s">
        <v>1479</v>
      </c>
      <c r="BN48" t="s">
        <v>1480</v>
      </c>
    </row>
    <row r="49" spans="1:64" ht="11.25" customHeight="1" x14ac:dyDescent="0.15">
      <c r="A49" t="s">
        <v>1481</v>
      </c>
      <c r="E49" t="s">
        <v>1009</v>
      </c>
      <c r="F49" t="s">
        <v>1482</v>
      </c>
      <c r="G49" t="str">
        <f>IF(f_year="","","01.01."&amp;f_year)</f>
        <v>01.01.2023</v>
      </c>
      <c r="H49" t="str">
        <f>IF(f_year="","","31.12."&amp;f_year)</f>
        <v>31.12.2023</v>
      </c>
      <c r="I49" t="b">
        <f>IF(f_year="",TRUE,FALSE)</f>
        <v>0</v>
      </c>
      <c r="J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AX49" t="s">
        <v>253</v>
      </c>
      <c r="AZ49" t="s">
        <v>1235</v>
      </c>
      <c r="BE49">
        <v>2047</v>
      </c>
      <c r="BH49" t="s">
        <v>1483</v>
      </c>
      <c r="BJ49" t="s">
        <v>1484</v>
      </c>
      <c r="BL49" t="s">
        <v>1484</v>
      </c>
    </row>
    <row r="50" spans="1:64" ht="11.25" customHeight="1" x14ac:dyDescent="0.15">
      <c r="A50" t="s">
        <v>1485</v>
      </c>
      <c r="E50" t="s">
        <v>1013</v>
      </c>
      <c r="F50" t="s">
        <v>1486</v>
      </c>
      <c r="G50" t="str">
        <f>IF(f_year="","","01.01."&amp;f_year)</f>
        <v>01.01.2023</v>
      </c>
      <c r="H50" t="str">
        <f>IF(f_year="","","31.12."&amp;f_year)</f>
        <v>31.12.2023</v>
      </c>
      <c r="I50" t="b">
        <f>IF(f_year="",TRUE,FALSE)</f>
        <v>0</v>
      </c>
      <c r="J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AX50" t="s">
        <v>243</v>
      </c>
      <c r="AZ50" t="s">
        <v>1251</v>
      </c>
      <c r="BE50">
        <v>2048</v>
      </c>
      <c r="BH50" t="s">
        <v>1460</v>
      </c>
      <c r="BJ50" t="s">
        <v>1487</v>
      </c>
      <c r="BL50" t="s">
        <v>1487</v>
      </c>
    </row>
    <row r="51" spans="1:64" ht="11.25" customHeight="1" x14ac:dyDescent="0.15">
      <c r="A51" t="s">
        <v>1488</v>
      </c>
      <c r="E51" t="s">
        <v>1014</v>
      </c>
      <c r="F51" t="s">
        <v>1489</v>
      </c>
      <c r="G51" t="str">
        <f>IF(TITLE_PERIOD_START="","",TITLE_PERIOD_START)</f>
        <v/>
      </c>
      <c r="H51" t="str">
        <f>IF(TITLE_PERIOD_END="","",TITLE_PERIOD_END)</f>
        <v/>
      </c>
      <c r="I51" t="b">
        <f>IF(OR(TITLE_PERIOD_START="",TITLE_PERIOD_END=""),TRUE,FALSE)</f>
        <v>1</v>
      </c>
      <c r="J5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AX51" t="s">
        <v>247</v>
      </c>
      <c r="AZ51" t="s">
        <v>1267</v>
      </c>
      <c r="BE51">
        <v>2049</v>
      </c>
      <c r="BH51" t="s">
        <v>1469</v>
      </c>
      <c r="BJ51" t="s">
        <v>1490</v>
      </c>
      <c r="BL51" t="s">
        <v>1490</v>
      </c>
    </row>
    <row r="52" spans="1:64" ht="11.25" customHeight="1" x14ac:dyDescent="0.15">
      <c r="A52" t="s">
        <v>1491</v>
      </c>
      <c r="E52" t="s">
        <v>1015</v>
      </c>
      <c r="F52" t="s">
        <v>1492</v>
      </c>
      <c r="G52" t="str">
        <f>IF(TITLE_PERIOD_START="","",TITLE_PERIOD_START)</f>
        <v/>
      </c>
      <c r="H52" t="str">
        <f>IF(TITLE_PERIOD_END="","",TITLE_PERIOD_END)</f>
        <v/>
      </c>
      <c r="I52" t="b">
        <f>IF(OR(TITLE_PERIOD_START="",TITLE_PERIOD_END=""),TRUE,FALSE)</f>
        <v>1</v>
      </c>
      <c r="J52" t="str">
        <f>"Показатели, подлежащие раскрытию в сфере "&amp;TEMPLATE_SPHERE_RUS&amp;" (цены и тарифы)"</f>
        <v>Показатели, подлежащие раскрытию в сфере теплоснабжения (цены и тарифы)</v>
      </c>
      <c r="AX52" t="s">
        <v>250</v>
      </c>
      <c r="AZ52" t="s">
        <v>1065</v>
      </c>
      <c r="BE52">
        <v>2050</v>
      </c>
      <c r="BH52" t="s">
        <v>1472</v>
      </c>
      <c r="BJ52" t="s">
        <v>1447</v>
      </c>
      <c r="BL52" t="s">
        <v>1447</v>
      </c>
    </row>
    <row r="53" spans="1:64" ht="11.25" customHeight="1" x14ac:dyDescent="0.15">
      <c r="A53" t="s">
        <v>1493</v>
      </c>
      <c r="E53" t="s">
        <v>1494</v>
      </c>
      <c r="F53" t="s">
        <v>1494</v>
      </c>
      <c r="G53" t="str">
        <f>IF(f_year="","","01.01."&amp;f_year)</f>
        <v>01.01.2023</v>
      </c>
      <c r="H53" t="str">
        <f>IF(f_year="","","31.12."&amp;f_year)</f>
        <v>31.12.2023</v>
      </c>
      <c r="I53" t="b">
        <f>IF(f_year="",TRUE,FALSE)</f>
        <v>0</v>
      </c>
      <c r="J53" t="s">
        <v>1495</v>
      </c>
      <c r="AX53" t="s">
        <v>126</v>
      </c>
      <c r="BE53">
        <v>2051</v>
      </c>
      <c r="BH53" t="s">
        <v>1476</v>
      </c>
      <c r="BJ53" t="s">
        <v>1451</v>
      </c>
      <c r="BL53" t="s">
        <v>1451</v>
      </c>
    </row>
    <row r="54" spans="1:64" ht="11.25" customHeight="1" x14ac:dyDescent="0.15">
      <c r="A54" t="s">
        <v>1496</v>
      </c>
      <c r="AX54" t="s">
        <v>256</v>
      </c>
      <c r="AZ54" t="s">
        <v>1497</v>
      </c>
      <c r="BE54">
        <v>2052</v>
      </c>
      <c r="BH54" t="s">
        <v>1480</v>
      </c>
      <c r="BJ54" t="s">
        <v>1454</v>
      </c>
      <c r="BL54" t="s">
        <v>1454</v>
      </c>
    </row>
    <row r="55" spans="1:64" ht="11.25" customHeight="1" x14ac:dyDescent="0.15">
      <c r="A55" t="s">
        <v>1498</v>
      </c>
      <c r="AX55" t="s">
        <v>261</v>
      </c>
      <c r="AZ55" t="s">
        <v>1067</v>
      </c>
      <c r="BE55">
        <v>2053</v>
      </c>
      <c r="BH55" t="s">
        <v>4</v>
      </c>
      <c r="BJ55" t="s">
        <v>1483</v>
      </c>
      <c r="BL55" t="s">
        <v>1483</v>
      </c>
    </row>
    <row r="56" spans="1:64" ht="11.25" customHeight="1" x14ac:dyDescent="0.15">
      <c r="A56" t="s">
        <v>1499</v>
      </c>
      <c r="D56" t="s">
        <v>1500</v>
      </c>
      <c r="E56">
        <v>89</v>
      </c>
      <c r="F56" t="s">
        <v>1501</v>
      </c>
      <c r="AX56" t="s">
        <v>130</v>
      </c>
      <c r="AZ56" t="s">
        <v>1095</v>
      </c>
      <c r="BE56">
        <v>2054</v>
      </c>
      <c r="BH56" t="s">
        <v>4</v>
      </c>
      <c r="BJ56" t="s">
        <v>1460</v>
      </c>
      <c r="BL56" t="s">
        <v>1460</v>
      </c>
    </row>
    <row r="57" spans="1:64" ht="11.25" customHeight="1" x14ac:dyDescent="0.15">
      <c r="A57" t="s">
        <v>1502</v>
      </c>
      <c r="D57" t="s">
        <v>1503</v>
      </c>
      <c r="E57">
        <v>98</v>
      </c>
      <c r="F57" t="s">
        <v>1501</v>
      </c>
      <c r="AX57" t="s">
        <v>1504</v>
      </c>
      <c r="AZ57" t="s">
        <v>1130</v>
      </c>
      <c r="BE57">
        <v>2055</v>
      </c>
      <c r="BJ57" t="s">
        <v>1469</v>
      </c>
      <c r="BL57" t="s">
        <v>1469</v>
      </c>
    </row>
    <row r="58" spans="1:64" ht="11.25" customHeight="1" x14ac:dyDescent="0.15">
      <c r="A58" t="s">
        <v>1505</v>
      </c>
      <c r="D58" t="s">
        <v>1506</v>
      </c>
      <c r="E58">
        <v>44</v>
      </c>
      <c r="F58" t="s">
        <v>1501</v>
      </c>
      <c r="AX58" t="s">
        <v>1507</v>
      </c>
      <c r="BE58">
        <v>2056</v>
      </c>
      <c r="BJ58" t="s">
        <v>1472</v>
      </c>
      <c r="BL58" t="s">
        <v>1472</v>
      </c>
    </row>
    <row r="59" spans="1:64" ht="11.25" customHeight="1" x14ac:dyDescent="0.15">
      <c r="A59" t="s">
        <v>1508</v>
      </c>
      <c r="D59" t="s">
        <v>439</v>
      </c>
      <c r="E59" t="s">
        <v>177</v>
      </c>
      <c r="F59" t="s">
        <v>1509</v>
      </c>
      <c r="AX59" t="s">
        <v>1510</v>
      </c>
      <c r="AZ59" t="s">
        <v>1511</v>
      </c>
      <c r="BE59">
        <v>2057</v>
      </c>
      <c r="BJ59" t="s">
        <v>1476</v>
      </c>
      <c r="BL59" t="s">
        <v>1476</v>
      </c>
    </row>
    <row r="60" spans="1:64" ht="11.25" customHeight="1" x14ac:dyDescent="0.15">
      <c r="A60" t="s">
        <v>1512</v>
      </c>
      <c r="D60" t="s">
        <v>1513</v>
      </c>
      <c r="E60" t="s">
        <v>177</v>
      </c>
      <c r="F60" t="s">
        <v>1509</v>
      </c>
      <c r="AX60" t="s">
        <v>1514</v>
      </c>
      <c r="AZ60" t="s">
        <v>1068</v>
      </c>
      <c r="BE60">
        <v>2058</v>
      </c>
      <c r="BJ60" t="s">
        <v>1480</v>
      </c>
      <c r="BL60" t="s">
        <v>1480</v>
      </c>
    </row>
    <row r="61" spans="1:64" ht="11.25" customHeight="1" x14ac:dyDescent="0.15">
      <c r="A61" t="s">
        <v>1515</v>
      </c>
      <c r="D61" t="s">
        <v>1516</v>
      </c>
      <c r="E61">
        <v>26</v>
      </c>
      <c r="F61" t="s">
        <v>1509</v>
      </c>
      <c r="AX61" t="s">
        <v>1517</v>
      </c>
      <c r="AZ61" t="s">
        <v>1096</v>
      </c>
      <c r="BE61">
        <v>2059</v>
      </c>
      <c r="BL61" t="s">
        <v>1518</v>
      </c>
    </row>
    <row r="62" spans="1:64" ht="11.25" customHeight="1" x14ac:dyDescent="0.15">
      <c r="A62" t="s">
        <v>1519</v>
      </c>
      <c r="D62" t="s">
        <v>438</v>
      </c>
      <c r="E62">
        <v>30</v>
      </c>
      <c r="F62" t="s">
        <v>1509</v>
      </c>
      <c r="AZ62" t="s">
        <v>1131</v>
      </c>
      <c r="BE62">
        <v>2060</v>
      </c>
      <c r="BL62" t="s">
        <v>1520</v>
      </c>
    </row>
    <row r="63" spans="1:64" ht="11.25" customHeight="1" x14ac:dyDescent="0.15">
      <c r="A63" t="s">
        <v>1521</v>
      </c>
      <c r="D63" t="s">
        <v>1522</v>
      </c>
      <c r="E63">
        <v>30</v>
      </c>
      <c r="F63" t="s">
        <v>1509</v>
      </c>
      <c r="AZ63" t="s">
        <v>1163</v>
      </c>
      <c r="BE63">
        <v>2061</v>
      </c>
    </row>
    <row r="64" spans="1:64" ht="11.25" customHeight="1" x14ac:dyDescent="0.15">
      <c r="A64" t="s">
        <v>1523</v>
      </c>
      <c r="D64" t="s">
        <v>1524</v>
      </c>
      <c r="E64">
        <v>30</v>
      </c>
      <c r="F64" t="s">
        <v>1509</v>
      </c>
      <c r="AZ64" t="s">
        <v>1186</v>
      </c>
      <c r="BE64">
        <v>2062</v>
      </c>
    </row>
    <row r="65" spans="1:66" ht="11.25" customHeight="1" x14ac:dyDescent="0.15">
      <c r="A65" t="s">
        <v>1525</v>
      </c>
      <c r="BE65">
        <v>2063</v>
      </c>
    </row>
    <row r="66" spans="1:66" ht="11.25" customHeight="1" x14ac:dyDescent="0.15">
      <c r="A66" t="s">
        <v>1526</v>
      </c>
      <c r="AZ66" t="s">
        <v>1527</v>
      </c>
      <c r="BE66">
        <v>2064</v>
      </c>
    </row>
    <row r="67" spans="1:66" ht="11.25" customHeight="1" x14ac:dyDescent="0.15">
      <c r="A67" t="s">
        <v>1528</v>
      </c>
      <c r="AZ67" t="s">
        <v>1069</v>
      </c>
      <c r="BE67">
        <v>2065</v>
      </c>
    </row>
    <row r="68" spans="1:66" ht="11.25" customHeight="1" x14ac:dyDescent="0.15">
      <c r="A68" t="s">
        <v>1529</v>
      </c>
      <c r="AZ68" t="s">
        <v>1097</v>
      </c>
      <c r="BE68">
        <v>2066</v>
      </c>
      <c r="BH68" t="s">
        <v>1530</v>
      </c>
      <c r="BJ68" t="s">
        <v>1531</v>
      </c>
      <c r="BL68" t="s">
        <v>1532</v>
      </c>
      <c r="BN68" t="s">
        <v>1533</v>
      </c>
    </row>
    <row r="69" spans="1:66" ht="11.25" customHeight="1" x14ac:dyDescent="0.15">
      <c r="A69" t="s">
        <v>1534</v>
      </c>
      <c r="AZ69" t="s">
        <v>1132</v>
      </c>
      <c r="BE69">
        <v>2067</v>
      </c>
      <c r="BH69" t="s">
        <v>1535</v>
      </c>
      <c r="BI69" t="s">
        <v>165</v>
      </c>
      <c r="BJ69" t="s">
        <v>1536</v>
      </c>
      <c r="BK69" t="s">
        <v>165</v>
      </c>
      <c r="BL69" t="s">
        <v>1537</v>
      </c>
      <c r="BN69" t="s">
        <v>1538</v>
      </c>
    </row>
    <row r="70" spans="1:66" ht="11.25" customHeight="1" x14ac:dyDescent="0.15">
      <c r="A70" t="s">
        <v>1539</v>
      </c>
      <c r="AZ70" t="s">
        <v>1164</v>
      </c>
      <c r="BE70">
        <v>2068</v>
      </c>
      <c r="BH70" t="s">
        <v>1540</v>
      </c>
      <c r="BJ70" t="s">
        <v>1541</v>
      </c>
      <c r="BL70" t="s">
        <v>1542</v>
      </c>
      <c r="BN70" t="s">
        <v>1543</v>
      </c>
    </row>
    <row r="71" spans="1:66" ht="11.25" customHeight="1" x14ac:dyDescent="0.15">
      <c r="A71" t="s">
        <v>1544</v>
      </c>
      <c r="AZ71" t="s">
        <v>1166</v>
      </c>
      <c r="BE71">
        <v>2069</v>
      </c>
      <c r="BH71" t="s">
        <v>1545</v>
      </c>
      <c r="BI71" t="s">
        <v>77</v>
      </c>
      <c r="BJ71" t="s">
        <v>1546</v>
      </c>
      <c r="BK71" t="s">
        <v>77</v>
      </c>
      <c r="BL71" t="s">
        <v>1547</v>
      </c>
      <c r="BN71" t="s">
        <v>1548</v>
      </c>
    </row>
    <row r="72" spans="1:66" ht="11.25" customHeight="1" x14ac:dyDescent="0.15">
      <c r="A72" t="s">
        <v>1549</v>
      </c>
      <c r="AZ72" t="s">
        <v>43</v>
      </c>
      <c r="BE72">
        <v>2070</v>
      </c>
      <c r="BH72" t="s">
        <v>1550</v>
      </c>
      <c r="BJ72" t="s">
        <v>1550</v>
      </c>
      <c r="BL72" t="s">
        <v>1550</v>
      </c>
      <c r="BN72" t="s">
        <v>1551</v>
      </c>
    </row>
    <row r="73" spans="1:66" ht="11.25" customHeight="1" x14ac:dyDescent="0.15">
      <c r="A73" t="s">
        <v>1552</v>
      </c>
      <c r="BH73" t="s">
        <v>1553</v>
      </c>
      <c r="BI73" t="s">
        <v>100</v>
      </c>
      <c r="BJ73" t="s">
        <v>1554</v>
      </c>
      <c r="BK73" t="s">
        <v>100</v>
      </c>
      <c r="BL73" t="s">
        <v>1555</v>
      </c>
      <c r="BN73" t="s">
        <v>1556</v>
      </c>
    </row>
    <row r="74" spans="1:66" ht="11.25" customHeight="1" x14ac:dyDescent="0.15">
      <c r="A74" t="s">
        <v>1557</v>
      </c>
      <c r="BH74" t="s">
        <v>1558</v>
      </c>
      <c r="BJ74" t="s">
        <v>1559</v>
      </c>
      <c r="BL74" t="s">
        <v>1560</v>
      </c>
      <c r="BN74" t="s">
        <v>1561</v>
      </c>
    </row>
    <row r="75" spans="1:66" ht="11.25" customHeight="1" x14ac:dyDescent="0.15">
      <c r="A75" t="s">
        <v>1562</v>
      </c>
      <c r="AZ75" t="s">
        <v>1563</v>
      </c>
      <c r="BH75" t="s">
        <v>1564</v>
      </c>
      <c r="BJ75" t="s">
        <v>1564</v>
      </c>
      <c r="BL75" t="s">
        <v>1564</v>
      </c>
    </row>
    <row r="76" spans="1:66" ht="11.25" customHeight="1" x14ac:dyDescent="0.15">
      <c r="A76" t="s">
        <v>1565</v>
      </c>
      <c r="AZ76" t="s">
        <v>1078</v>
      </c>
      <c r="BH76" t="s">
        <v>1566</v>
      </c>
      <c r="BJ76" t="s">
        <v>1567</v>
      </c>
      <c r="BL76" t="s">
        <v>1568</v>
      </c>
    </row>
    <row r="77" spans="1:66" ht="11.25" customHeight="1" x14ac:dyDescent="0.15">
      <c r="A77" t="s">
        <v>1569</v>
      </c>
      <c r="AZ77" t="s">
        <v>1107</v>
      </c>
    </row>
    <row r="78" spans="1:66" ht="11.25" customHeight="1" x14ac:dyDescent="0.15">
      <c r="A78" t="s">
        <v>1570</v>
      </c>
      <c r="AZ78" t="s">
        <v>1139</v>
      </c>
    </row>
    <row r="79" spans="1:66" ht="11.25" customHeight="1" x14ac:dyDescent="0.15">
      <c r="A79" t="s">
        <v>1571</v>
      </c>
      <c r="AZ79" t="s">
        <v>1170</v>
      </c>
      <c r="BH79" t="s">
        <v>1572</v>
      </c>
      <c r="BJ79" t="s">
        <v>1573</v>
      </c>
      <c r="BL79" t="s">
        <v>1574</v>
      </c>
    </row>
    <row r="80" spans="1:66" ht="11.25" customHeight="1" x14ac:dyDescent="0.15">
      <c r="A80" t="s">
        <v>1575</v>
      </c>
      <c r="AZ80" t="s">
        <v>1191</v>
      </c>
      <c r="BH80" t="s">
        <v>1576</v>
      </c>
      <c r="BJ80" t="s">
        <v>1577</v>
      </c>
      <c r="BL80" t="s">
        <v>1578</v>
      </c>
    </row>
    <row r="81" spans="1:66" ht="11.25" customHeight="1" x14ac:dyDescent="0.15">
      <c r="A81" t="s">
        <v>1579</v>
      </c>
      <c r="AZ81" t="s">
        <v>1208</v>
      </c>
      <c r="BH81" t="s">
        <v>1580</v>
      </c>
      <c r="BJ81" t="s">
        <v>1581</v>
      </c>
      <c r="BL81" t="s">
        <v>1582</v>
      </c>
    </row>
    <row r="82" spans="1:66" ht="11.25" customHeight="1" x14ac:dyDescent="0.15">
      <c r="A82" t="s">
        <v>1583</v>
      </c>
      <c r="AZ82" t="s">
        <v>1222</v>
      </c>
      <c r="BH82" t="s">
        <v>1584</v>
      </c>
      <c r="BJ82" t="s">
        <v>1585</v>
      </c>
      <c r="BL82" t="s">
        <v>1586</v>
      </c>
    </row>
    <row r="83" spans="1:66" ht="11.25" customHeight="1" x14ac:dyDescent="0.15">
      <c r="A83" t="s">
        <v>1587</v>
      </c>
      <c r="BH83" t="s">
        <v>1588</v>
      </c>
      <c r="BJ83" t="s">
        <v>1589</v>
      </c>
      <c r="BL83" t="s">
        <v>1590</v>
      </c>
    </row>
    <row r="84" spans="1:66" ht="11.25" customHeight="1" x14ac:dyDescent="0.15">
      <c r="A84" t="s">
        <v>1591</v>
      </c>
      <c r="AZ84" t="s">
        <v>1592</v>
      </c>
    </row>
    <row r="85" spans="1:66" ht="11.25" customHeight="1" x14ac:dyDescent="0.15">
      <c r="A85" t="s">
        <v>1593</v>
      </c>
      <c r="AZ85" t="s">
        <v>1594</v>
      </c>
    </row>
    <row r="86" spans="1:66" ht="11.25" customHeight="1" x14ac:dyDescent="0.15">
      <c r="A86" t="s">
        <v>1595</v>
      </c>
      <c r="AZ86" t="s">
        <v>1596</v>
      </c>
      <c r="BH86" t="s">
        <v>1597</v>
      </c>
      <c r="BJ86" t="s">
        <v>1598</v>
      </c>
      <c r="BL86" t="s">
        <v>1599</v>
      </c>
    </row>
    <row r="87" spans="1:66" ht="11.25" customHeight="1" x14ac:dyDescent="0.15">
      <c r="A87" t="s">
        <v>1600</v>
      </c>
      <c r="AZ87" t="s">
        <v>1601</v>
      </c>
      <c r="BH87" t="s">
        <v>1602</v>
      </c>
      <c r="BJ87" t="s">
        <v>1603</v>
      </c>
      <c r="BL87" t="s">
        <v>1604</v>
      </c>
    </row>
    <row r="88" spans="1:66" ht="11.25" customHeight="1" x14ac:dyDescent="0.15">
      <c r="BH88" t="s">
        <v>1605</v>
      </c>
      <c r="BJ88" t="s">
        <v>1606</v>
      </c>
      <c r="BL88" t="s">
        <v>1607</v>
      </c>
    </row>
    <row r="89" spans="1:66" ht="11.25" customHeight="1" x14ac:dyDescent="0.15">
      <c r="AZ89" t="s">
        <v>1608</v>
      </c>
    </row>
    <row r="90" spans="1:66" ht="11.25" customHeight="1" x14ac:dyDescent="0.15">
      <c r="AZ90" t="s">
        <v>1486</v>
      </c>
    </row>
    <row r="91" spans="1:66" ht="11.25" customHeight="1" x14ac:dyDescent="0.15">
      <c r="AZ91" t="s">
        <v>1609</v>
      </c>
      <c r="BH91" t="s">
        <v>1610</v>
      </c>
      <c r="BJ91" t="s">
        <v>1611</v>
      </c>
      <c r="BL91" t="s">
        <v>1612</v>
      </c>
    </row>
    <row r="92" spans="1:66" ht="11.25" customHeight="1" x14ac:dyDescent="0.15">
      <c r="AZ92" t="s">
        <v>1613</v>
      </c>
      <c r="BH92" t="s">
        <v>1614</v>
      </c>
      <c r="BJ92" t="s">
        <v>1615</v>
      </c>
      <c r="BL92" t="s">
        <v>1616</v>
      </c>
    </row>
    <row r="93" spans="1:66" ht="11.25" customHeight="1" x14ac:dyDescent="0.15">
      <c r="AZ93" t="s">
        <v>1617</v>
      </c>
      <c r="BH93" t="s">
        <v>1618</v>
      </c>
      <c r="BJ93" t="s">
        <v>1619</v>
      </c>
      <c r="BL93" t="s">
        <v>1620</v>
      </c>
    </row>
    <row r="94" spans="1:66" ht="11.25" customHeight="1" x14ac:dyDescent="0.15">
      <c r="AZ94" t="s">
        <v>1621</v>
      </c>
    </row>
    <row r="96" spans="1:66" ht="11.25" customHeight="1" x14ac:dyDescent="0.15">
      <c r="BH96" t="s">
        <v>1622</v>
      </c>
      <c r="BJ96" t="s">
        <v>1623</v>
      </c>
      <c r="BL96" t="s">
        <v>1624</v>
      </c>
      <c r="BN96" t="s">
        <v>1625</v>
      </c>
    </row>
    <row r="97" spans="60:66" ht="11.25" customHeight="1" x14ac:dyDescent="0.15">
      <c r="BH97" t="s">
        <v>1626</v>
      </c>
      <c r="BJ97" t="s">
        <v>1627</v>
      </c>
      <c r="BL97" t="s">
        <v>1628</v>
      </c>
      <c r="BN97" t="s">
        <v>1629</v>
      </c>
    </row>
    <row r="98" spans="60:66" ht="11.25" customHeight="1" x14ac:dyDescent="0.15">
      <c r="BH98" t="s">
        <v>1630</v>
      </c>
      <c r="BJ98" t="s">
        <v>1631</v>
      </c>
      <c r="BL98" t="s">
        <v>1632</v>
      </c>
      <c r="BN98" t="s">
        <v>1633</v>
      </c>
    </row>
    <row r="99" spans="60:66" ht="11.25" customHeight="1" x14ac:dyDescent="0.15">
      <c r="BH99" t="s">
        <v>1634</v>
      </c>
      <c r="BJ99" t="s">
        <v>1635</v>
      </c>
      <c r="BL99" t="s">
        <v>1636</v>
      </c>
      <c r="BN99" t="s">
        <v>1637</v>
      </c>
    </row>
    <row r="100" spans="60:66" ht="11.25" customHeight="1" x14ac:dyDescent="0.15">
      <c r="BJ100" t="s">
        <v>1267</v>
      </c>
      <c r="BL100" t="s">
        <v>1267</v>
      </c>
      <c r="BN100" t="s">
        <v>1638</v>
      </c>
    </row>
    <row r="101" spans="60:66" ht="11.25" customHeight="1" x14ac:dyDescent="0.15">
      <c r="BN101" t="s">
        <v>1639</v>
      </c>
    </row>
    <row r="102" spans="60:66" ht="11.25" customHeight="1" x14ac:dyDescent="0.15">
      <c r="BN102" t="s">
        <v>1640</v>
      </c>
    </row>
    <row r="103" spans="60:66" ht="11.25" customHeight="1" x14ac:dyDescent="0.15">
      <c r="BN103" t="s">
        <v>1641</v>
      </c>
    </row>
    <row r="104" spans="60:66" ht="11.25" customHeight="1" x14ac:dyDescent="0.15">
      <c r="BN104" t="s">
        <v>1642</v>
      </c>
    </row>
    <row r="107" spans="60:66" ht="11.25" customHeight="1" x14ac:dyDescent="0.15">
      <c r="BH107" t="s">
        <v>1643</v>
      </c>
      <c r="BJ107" t="s">
        <v>1644</v>
      </c>
      <c r="BL107" t="s">
        <v>1645</v>
      </c>
      <c r="BN107" t="s">
        <v>1646</v>
      </c>
    </row>
    <row r="108" spans="60:66" ht="11.25" customHeight="1" x14ac:dyDescent="0.15">
      <c r="BH108" t="s">
        <v>1647</v>
      </c>
      <c r="BJ108" t="s">
        <v>1648</v>
      </c>
      <c r="BL108" t="s">
        <v>1649</v>
      </c>
      <c r="BN108" t="s">
        <v>1650</v>
      </c>
    </row>
    <row r="109" spans="60:66" ht="11.25" customHeight="1" x14ac:dyDescent="0.15">
      <c r="BH109" t="s">
        <v>1651</v>
      </c>
    </row>
    <row r="110" spans="60:66" ht="11.25" customHeight="1" x14ac:dyDescent="0.15">
      <c r="BH110" t="s">
        <v>1651</v>
      </c>
    </row>
    <row r="114" spans="60:60" ht="11.25" customHeight="1" x14ac:dyDescent="0.15">
      <c r="BH114" t="s">
        <v>1652</v>
      </c>
    </row>
    <row r="115" spans="60:60" ht="11.25" customHeight="1" x14ac:dyDescent="0.15">
      <c r="BH115" t="s">
        <v>1065</v>
      </c>
    </row>
    <row r="116" spans="60:60" ht="11.25" customHeight="1" x14ac:dyDescent="0.15">
      <c r="BH116" t="s">
        <v>1093</v>
      </c>
    </row>
    <row r="117" spans="60:60" ht="11.25" customHeight="1" x14ac:dyDescent="0.15">
      <c r="BH117" t="s">
        <v>1128</v>
      </c>
    </row>
    <row r="118" spans="60:60" ht="11.25" customHeight="1" x14ac:dyDescent="0.15">
      <c r="BH118" t="s">
        <v>1161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Q203"/>
  <sheetViews>
    <sheetView showGridLines="0" zoomScale="85" workbookViewId="0"/>
  </sheetViews>
  <sheetFormatPr defaultRowHeight="17.100000000000001" customHeight="1" x14ac:dyDescent="0.15"/>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1" spans="1:15" ht="17.25" customHeight="1" x14ac:dyDescent="0.15"/>
    <row r="2" spans="1:15" ht="17.25" customHeight="1" x14ac:dyDescent="0.15">
      <c r="A2" t="s">
        <v>1653</v>
      </c>
    </row>
    <row r="3" spans="1:15" ht="17.25" customHeight="1" x14ac:dyDescent="0.15"/>
    <row r="4" spans="1:15" ht="15" customHeight="1" x14ac:dyDescent="0.15"/>
    <row r="6" spans="1:15" ht="17.25" customHeight="1" x14ac:dyDescent="0.15">
      <c r="A6" t="s">
        <v>1654</v>
      </c>
    </row>
    <row r="8" spans="1:15" ht="17.25" customHeight="1" x14ac:dyDescent="0.15"/>
    <row r="10" spans="1:15" ht="17.25" customHeight="1" x14ac:dyDescent="0.15"/>
    <row r="11" spans="1:15" ht="17.25" customHeight="1" x14ac:dyDescent="0.15">
      <c r="A11" t="s">
        <v>1655</v>
      </c>
    </row>
    <row r="12" spans="1:15" ht="17.25" customHeight="1" x14ac:dyDescent="0.15"/>
    <row r="13" spans="1:15" ht="14.25" customHeight="1" x14ac:dyDescent="0.15">
      <c r="A13" s="6">
        <v>1</v>
      </c>
      <c r="C13" t="s">
        <v>90</v>
      </c>
      <c r="E13">
        <f>A13</f>
        <v>1</v>
      </c>
      <c r="G13" t="str">
        <f>"Территория "&amp;E13</f>
        <v>Территория 1</v>
      </c>
    </row>
    <row r="14" spans="1:15" ht="15" customHeight="1" x14ac:dyDescent="0.15">
      <c r="A14" s="6"/>
      <c r="B14">
        <v>1</v>
      </c>
      <c r="D14" t="s">
        <v>90</v>
      </c>
      <c r="E14" t="str">
        <f>A13&amp;"."&amp;B14</f>
        <v>1.1</v>
      </c>
      <c r="F14">
        <f>$F$16</f>
        <v>0</v>
      </c>
      <c r="J14" t="e">
        <f ca="1">MERGEVALUE(G14)</f>
        <v>#NAME?</v>
      </c>
      <c r="M14" t="str">
        <f t="array" ref="M14">IF(ISERROR(MATCH(MID(N14,1,250),MID(note_ter,1,250),0)),"n","y")</f>
        <v>n</v>
      </c>
      <c r="O14" t="str">
        <f>H14&amp;"("&amp;I14&amp;")"</f>
        <v>()</v>
      </c>
    </row>
    <row r="15" spans="1:15" ht="15" customHeight="1" x14ac:dyDescent="0.15">
      <c r="A15" s="6"/>
      <c r="G15" t="s">
        <v>88</v>
      </c>
    </row>
    <row r="16" spans="1:15" ht="17.25" customHeight="1" x14ac:dyDescent="0.15"/>
    <row r="17" spans="1:26" ht="15" customHeight="1" x14ac:dyDescent="0.15">
      <c r="A17" t="s">
        <v>1656</v>
      </c>
    </row>
    <row r="18" spans="1:26" ht="15" customHeight="1" x14ac:dyDescent="0.15"/>
    <row r="19" spans="1:26" ht="15" customHeight="1" x14ac:dyDescent="0.15">
      <c r="C19" t="s">
        <v>90</v>
      </c>
      <c r="D19" s="6" t="s">
        <v>165</v>
      </c>
      <c r="E19" s="6"/>
      <c r="F19" s="6" t="s">
        <v>43</v>
      </c>
      <c r="G19" s="6"/>
      <c r="H19" s="6">
        <v>1</v>
      </c>
      <c r="I19" s="6" t="str">
        <f>IF(U19="","",INDEX(TERRITORY_MR_LIST,MATCH(U19,TERRITORY_LIST_ID,0)))</f>
        <v/>
      </c>
      <c r="J19" s="6" t="s">
        <v>43</v>
      </c>
      <c r="L19" t="s">
        <v>165</v>
      </c>
      <c r="Y19" t="s">
        <v>366</v>
      </c>
      <c r="Z19">
        <v>1705000</v>
      </c>
    </row>
    <row r="20" spans="1:26" ht="15" customHeight="1" x14ac:dyDescent="0.15">
      <c r="D20" s="6"/>
      <c r="E20" s="6"/>
      <c r="F20" s="6"/>
      <c r="G20" s="6"/>
      <c r="H20" s="6"/>
      <c r="I20" s="6"/>
      <c r="J20" s="6"/>
      <c r="M20" t="s">
        <v>399</v>
      </c>
    </row>
    <row r="21" spans="1:26" ht="15" customHeight="1" x14ac:dyDescent="0.15">
      <c r="D21" s="6"/>
      <c r="E21" s="6"/>
      <c r="F21" s="6"/>
      <c r="I21" t="s">
        <v>400</v>
      </c>
    </row>
    <row r="22" spans="1:26" ht="15" customHeight="1" x14ac:dyDescent="0.15"/>
    <row r="23" spans="1:26" ht="15" customHeight="1" x14ac:dyDescent="0.15">
      <c r="A23" t="s">
        <v>1657</v>
      </c>
    </row>
    <row r="24" spans="1:26" ht="15" customHeight="1" x14ac:dyDescent="0.15"/>
    <row r="25" spans="1:26" ht="15" customHeight="1" x14ac:dyDescent="0.15">
      <c r="G25" s="6" t="s">
        <v>90</v>
      </c>
      <c r="H25" s="6">
        <v>1</v>
      </c>
      <c r="I25" s="6" t="str">
        <f>IF(U25="","",INDEX(TERRITORY_MR_LIST,MATCH(U25,TERRITORY_LIST_ID,0)))</f>
        <v/>
      </c>
      <c r="J25" s="6" t="s">
        <v>43</v>
      </c>
      <c r="L25" t="s">
        <v>165</v>
      </c>
      <c r="Y25" t="s">
        <v>366</v>
      </c>
      <c r="Z25">
        <v>1705000</v>
      </c>
    </row>
    <row r="26" spans="1:26" ht="15" customHeight="1" x14ac:dyDescent="0.15">
      <c r="G26" s="6"/>
      <c r="H26" s="6"/>
      <c r="I26" s="6"/>
      <c r="J26" s="6"/>
      <c r="M26" t="s">
        <v>399</v>
      </c>
    </row>
    <row r="27" spans="1:26" ht="15" customHeight="1" x14ac:dyDescent="0.15"/>
    <row r="28" spans="1:26" ht="15" customHeight="1" x14ac:dyDescent="0.15">
      <c r="A28" t="s">
        <v>1658</v>
      </c>
    </row>
    <row r="29" spans="1:26" ht="15" customHeight="1" x14ac:dyDescent="0.15"/>
    <row r="30" spans="1:26" ht="15" customHeight="1" x14ac:dyDescent="0.15">
      <c r="K30" t="s">
        <v>90</v>
      </c>
      <c r="L30" t="s">
        <v>165</v>
      </c>
      <c r="Y30" t="s">
        <v>366</v>
      </c>
      <c r="Z30">
        <v>1705000</v>
      </c>
    </row>
    <row r="31" spans="1:26" ht="15" customHeight="1" x14ac:dyDescent="0.15"/>
    <row r="32" spans="1:26" ht="15" customHeight="1" x14ac:dyDescent="0.15"/>
    <row r="33" spans="1:43" ht="11.25" customHeight="1" x14ac:dyDescent="0.15">
      <c r="A33" t="s">
        <v>1659</v>
      </c>
    </row>
    <row r="34" spans="1:43" ht="11.25" customHeight="1" x14ac:dyDescent="0.15"/>
    <row r="35" spans="1:43" ht="22.5" customHeight="1" x14ac:dyDescent="0.15"/>
    <row r="36" spans="1:43" ht="11.25" customHeight="1" x14ac:dyDescent="0.15"/>
    <row r="37" spans="1:43" ht="11.25" customHeight="1" x14ac:dyDescent="0.15">
      <c r="A37" t="s">
        <v>1660</v>
      </c>
    </row>
    <row r="38" spans="1:43" ht="11.25" customHeight="1" x14ac:dyDescent="0.15"/>
    <row r="39" spans="1:43" ht="22.5" customHeight="1" x14ac:dyDescent="0.15"/>
    <row r="40" spans="1:43" ht="17.25" customHeight="1" x14ac:dyDescent="0.15"/>
    <row r="41" spans="1:43" ht="17.25" customHeight="1" x14ac:dyDescent="0.15"/>
    <row r="42" spans="1:43" ht="17.25" customHeight="1" x14ac:dyDescent="0.15">
      <c r="A42" t="s">
        <v>1661</v>
      </c>
    </row>
    <row r="43" spans="1:43" ht="17.25" customHeight="1" x14ac:dyDescent="0.15"/>
    <row r="44" spans="1:43" ht="18.75" customHeight="1" x14ac:dyDescent="0.15">
      <c r="F44">
        <v>13</v>
      </c>
      <c r="J44" t="s">
        <v>50</v>
      </c>
      <c r="K44" t="s">
        <v>4</v>
      </c>
      <c r="P44" t="s">
        <v>687</v>
      </c>
      <c r="Q44" t="s">
        <v>688</v>
      </c>
      <c r="R44" t="s">
        <v>689</v>
      </c>
      <c r="S44" t="s">
        <v>690</v>
      </c>
    </row>
    <row r="45" spans="1:43" ht="17.25" customHeight="1" x14ac:dyDescent="0.15"/>
    <row r="46" spans="1:43" ht="11.25" customHeight="1" x14ac:dyDescent="0.15">
      <c r="A46" t="s">
        <v>1662</v>
      </c>
    </row>
    <row r="47" spans="1:43" ht="17.25" customHeight="1" x14ac:dyDescent="0.15"/>
    <row r="48" spans="1:43" ht="14.25" customHeight="1" x14ac:dyDescent="0.15">
      <c r="AP48" t="s">
        <v>676</v>
      </c>
      <c r="AQ48" t="s">
        <v>676</v>
      </c>
    </row>
    <row r="49" spans="1:30" ht="17.25" customHeight="1" x14ac:dyDescent="0.15"/>
    <row r="50" spans="1:30" ht="11.25" customHeight="1" x14ac:dyDescent="0.15">
      <c r="A50" t="s">
        <v>1663</v>
      </c>
    </row>
    <row r="51" spans="1:30" ht="17.25" customHeight="1" x14ac:dyDescent="0.15"/>
    <row r="52" spans="1:30" ht="14.25" customHeight="1" x14ac:dyDescent="0.15">
      <c r="A52" t="s">
        <v>77</v>
      </c>
      <c r="B52" t="s">
        <v>4</v>
      </c>
    </row>
    <row r="53" spans="1:30" ht="17.25" customHeight="1" x14ac:dyDescent="0.15"/>
    <row r="54" spans="1:30" ht="11.25" customHeight="1" x14ac:dyDescent="0.15">
      <c r="A54" t="s">
        <v>1664</v>
      </c>
    </row>
    <row r="55" spans="1:30" ht="17.25" customHeight="1" x14ac:dyDescent="0.15"/>
    <row r="56" spans="1:30" ht="14.25" customHeight="1" x14ac:dyDescent="0.15"/>
    <row r="57" spans="1:30" ht="17.25" customHeight="1" x14ac:dyDescent="0.15"/>
    <row r="58" spans="1:30" ht="11.25" customHeight="1" x14ac:dyDescent="0.15">
      <c r="A58" t="s">
        <v>1665</v>
      </c>
    </row>
    <row r="59" spans="1:30" ht="17.25" customHeight="1" x14ac:dyDescent="0.15"/>
    <row r="60" spans="1:30" ht="27" customHeight="1" x14ac:dyDescent="0.15">
      <c r="F60" s="6"/>
      <c r="G60" s="6"/>
      <c r="H60" s="6" t="s">
        <v>50</v>
      </c>
      <c r="I60" s="6"/>
      <c r="J60" s="6"/>
      <c r="K60" s="6"/>
      <c r="L60" s="6"/>
      <c r="M60" s="6"/>
      <c r="N60" s="6"/>
      <c r="O60" s="6"/>
      <c r="P60" s="6" t="e">
        <f>DATEDIF(DATEVALUE(N60),DATEVALUE(O60),"y")&amp;"г. "&amp;DATEDIF(DATEVALUE(N60),DATEVALUE(O60),"ym")&amp;"мес. "&amp;DATEVALUE(O60)-DATE(YEAR(DATEVALUE(O60)),MONTH(DATEVALUE(O60)),1)&amp;"дн. "</f>
        <v>#VALUE!</v>
      </c>
      <c r="Q60" s="6"/>
      <c r="R60" s="6"/>
      <c r="S60" s="6"/>
      <c r="T60" s="6"/>
      <c r="U60" s="6"/>
      <c r="V60" s="6"/>
      <c r="W60" s="6"/>
      <c r="X60" s="6"/>
      <c r="Y60" s="6" t="s">
        <v>50</v>
      </c>
      <c r="AA60">
        <v>1</v>
      </c>
      <c r="AD60" t="s">
        <v>1666</v>
      </c>
    </row>
    <row r="61" spans="1:30" ht="10.5" customHeight="1" x14ac:dyDescent="0.15">
      <c r="F61" s="6"/>
      <c r="G61" s="6"/>
      <c r="H61" s="6"/>
      <c r="I61" s="6"/>
      <c r="J61" s="6"/>
      <c r="K61" s="6"/>
      <c r="L61" s="6"/>
      <c r="M61" s="6"/>
      <c r="N61" s="6"/>
      <c r="O61" s="6"/>
      <c r="P61" s="6"/>
      <c r="Q61" s="6"/>
      <c r="R61" s="6"/>
      <c r="S61" s="6"/>
      <c r="T61" s="6"/>
      <c r="U61" s="6"/>
      <c r="V61" s="6"/>
      <c r="W61" s="6"/>
      <c r="X61" s="6"/>
      <c r="Y61" s="6"/>
      <c r="AB61" t="s">
        <v>1667</v>
      </c>
    </row>
    <row r="62" spans="1:30" ht="17.25" customHeight="1" x14ac:dyDescent="0.15"/>
    <row r="63" spans="1:30" ht="11.25" customHeight="1" x14ac:dyDescent="0.15">
      <c r="A63" t="s">
        <v>1668</v>
      </c>
    </row>
    <row r="64" spans="1:30" ht="17.25" customHeight="1" x14ac:dyDescent="0.15"/>
    <row r="65" spans="1:37" ht="27" customHeight="1" x14ac:dyDescent="0.15">
      <c r="AA65">
        <v>1</v>
      </c>
      <c r="AD65" t="s">
        <v>1666</v>
      </c>
    </row>
    <row r="66" spans="1:37" ht="17.25" customHeight="1" x14ac:dyDescent="0.15"/>
    <row r="67" spans="1:37" ht="11.25" customHeight="1" x14ac:dyDescent="0.15">
      <c r="A67" t="s">
        <v>1669</v>
      </c>
    </row>
    <row r="68" spans="1:37" ht="17.25" customHeight="1" x14ac:dyDescent="0.15"/>
    <row r="69" spans="1:37" ht="21" customHeight="1" x14ac:dyDescent="0.15">
      <c r="F69" t="e">
        <f>INDEX(IP_MAIN_LIST_NAME_IP,MATCH(A69,IP_MAIN_LIST_IP_ID,0))&amp;" ("&amp;INDEX(IP_MAIN_START_DATE,MATCH(A69,IP_MAIN_LIST_IP_ID,0))&amp;"-"&amp;INDEX(IP_MAIN_END_DATE,MATCH(A69,IP_MAIN_LIST_IP_ID,0))&amp;")"</f>
        <v>#N/A</v>
      </c>
    </row>
    <row r="70" spans="1:37" ht="11.25" customHeight="1" x14ac:dyDescent="0.15">
      <c r="F70" s="6"/>
      <c r="G70" s="6"/>
      <c r="H70" s="6" t="s">
        <v>165</v>
      </c>
      <c r="I70" s="6"/>
      <c r="J70" s="6"/>
      <c r="K70" s="6"/>
      <c r="L70" s="6" t="s">
        <v>43</v>
      </c>
      <c r="M70" s="6"/>
      <c r="O70" t="s">
        <v>671</v>
      </c>
      <c r="AF70" s="6"/>
      <c r="AG70" s="6"/>
      <c r="AH70" s="6"/>
      <c r="AI70" s="6"/>
      <c r="AJ70" s="6"/>
      <c r="AK70" s="6"/>
    </row>
    <row r="71" spans="1:37" ht="11.25" customHeight="1" x14ac:dyDescent="0.15">
      <c r="F71" s="6"/>
      <c r="G71" s="6"/>
      <c r="H71" s="6"/>
      <c r="I71" s="6"/>
      <c r="J71" s="6"/>
      <c r="K71" s="6"/>
      <c r="L71" s="6"/>
      <c r="M71" s="6"/>
      <c r="N71" s="6"/>
      <c r="O71" s="6">
        <v>1</v>
      </c>
      <c r="P71" s="6" t="s">
        <v>43</v>
      </c>
      <c r="Q71" s="6" t="s">
        <v>4</v>
      </c>
      <c r="R71" s="6" t="s">
        <v>4</v>
      </c>
      <c r="S71" s="6" t="s">
        <v>4</v>
      </c>
      <c r="T71" s="6" t="s">
        <v>4</v>
      </c>
      <c r="U71" s="6" t="s">
        <v>4</v>
      </c>
      <c r="V71" s="6" t="s">
        <v>4</v>
      </c>
      <c r="W71" s="6" t="s">
        <v>4</v>
      </c>
      <c r="X71" s="6" t="s">
        <v>4</v>
      </c>
      <c r="Y71" s="6"/>
      <c r="AF71" s="6"/>
      <c r="AG71" s="6"/>
      <c r="AH71" s="6"/>
      <c r="AI71" s="6"/>
      <c r="AJ71" s="6"/>
      <c r="AK71" s="6"/>
    </row>
    <row r="72" spans="1:37" ht="11.25" customHeight="1" x14ac:dyDescent="0.15">
      <c r="F72" s="6"/>
      <c r="G72" s="6"/>
      <c r="H72" s="6"/>
      <c r="I72" s="6"/>
      <c r="J72" s="6"/>
      <c r="K72" s="6"/>
      <c r="L72" s="6"/>
      <c r="M72" s="6"/>
      <c r="N72" s="6"/>
      <c r="O72" s="6"/>
      <c r="P72" s="6"/>
      <c r="Q72" s="6"/>
      <c r="R72" s="6"/>
      <c r="S72" s="6"/>
      <c r="T72" s="6"/>
      <c r="U72" s="6"/>
      <c r="V72" s="6"/>
      <c r="W72" s="6"/>
      <c r="X72" s="6"/>
      <c r="Y72" s="6"/>
      <c r="AA72">
        <v>1</v>
      </c>
      <c r="AD72">
        <f>AB72</f>
        <v>0</v>
      </c>
      <c r="AF72" s="6"/>
      <c r="AG72" s="6"/>
      <c r="AH72" s="6"/>
      <c r="AI72" s="6"/>
      <c r="AJ72" s="6"/>
      <c r="AK72" s="6"/>
    </row>
    <row r="73" spans="1:37" ht="11.25" customHeight="1" x14ac:dyDescent="0.15">
      <c r="F73" s="6"/>
      <c r="G73" s="6"/>
      <c r="H73" s="6"/>
      <c r="I73" s="6"/>
      <c r="J73" s="6"/>
      <c r="K73" s="6"/>
      <c r="L73" s="6"/>
      <c r="M73" s="6"/>
      <c r="N73" s="6"/>
      <c r="O73" s="6"/>
      <c r="P73" s="6"/>
      <c r="Q73" s="6"/>
      <c r="R73" s="6"/>
      <c r="S73" s="6"/>
      <c r="T73" s="6"/>
      <c r="U73" s="6"/>
      <c r="V73" s="6"/>
      <c r="W73" s="6"/>
      <c r="X73" s="6"/>
      <c r="Y73" s="6"/>
      <c r="AB73" t="s">
        <v>1670</v>
      </c>
      <c r="AF73" s="6"/>
      <c r="AG73" s="6"/>
      <c r="AH73" s="6"/>
      <c r="AI73" s="6"/>
      <c r="AJ73" s="6"/>
      <c r="AK73" s="6"/>
    </row>
    <row r="74" spans="1:37" ht="11.25" customHeight="1" x14ac:dyDescent="0.15">
      <c r="F74" s="6"/>
      <c r="G74" s="6"/>
      <c r="H74" s="6"/>
      <c r="I74" s="6"/>
      <c r="J74" s="6"/>
      <c r="K74" s="6"/>
      <c r="L74" s="6"/>
      <c r="M74" s="6"/>
      <c r="P74" t="s">
        <v>1671</v>
      </c>
      <c r="AF74" s="6"/>
      <c r="AG74" s="6"/>
      <c r="AH74" s="6"/>
      <c r="AI74" s="6"/>
      <c r="AJ74" s="6"/>
      <c r="AK74" s="6"/>
    </row>
    <row r="75" spans="1:37" ht="12" customHeight="1" x14ac:dyDescent="0.15">
      <c r="F75" s="6"/>
      <c r="I75" s="6" t="s">
        <v>1672</v>
      </c>
      <c r="J75" s="6"/>
      <c r="K75" s="6"/>
    </row>
    <row r="76" spans="1:37" ht="17.25" customHeight="1" x14ac:dyDescent="0.15"/>
    <row r="77" spans="1:37" ht="11.25" customHeight="1" x14ac:dyDescent="0.15">
      <c r="A77" t="s">
        <v>1673</v>
      </c>
    </row>
    <row r="78" spans="1:37" ht="17.25" customHeight="1" x14ac:dyDescent="0.15"/>
    <row r="79" spans="1:37" ht="11.25" customHeight="1" x14ac:dyDescent="0.15">
      <c r="N79" s="6"/>
      <c r="O79" s="6">
        <v>1</v>
      </c>
      <c r="P79" s="6" t="s">
        <v>43</v>
      </c>
      <c r="Q79" s="6" t="s">
        <v>4</v>
      </c>
      <c r="R79" s="6" t="s">
        <v>4</v>
      </c>
      <c r="S79" s="6" t="s">
        <v>4</v>
      </c>
      <c r="T79" s="6" t="s">
        <v>4</v>
      </c>
      <c r="U79" s="6" t="s">
        <v>4</v>
      </c>
      <c r="V79" s="6" t="s">
        <v>4</v>
      </c>
      <c r="W79" s="6" t="s">
        <v>4</v>
      </c>
      <c r="X79" s="6" t="s">
        <v>4</v>
      </c>
      <c r="Y79" s="6"/>
    </row>
    <row r="80" spans="1:37" ht="11.25" customHeight="1" x14ac:dyDescent="0.15">
      <c r="N80" s="6"/>
      <c r="O80" s="6"/>
      <c r="P80" s="6"/>
      <c r="Q80" s="6"/>
      <c r="R80" s="6"/>
      <c r="S80" s="6"/>
      <c r="T80" s="6"/>
      <c r="U80" s="6"/>
      <c r="V80" s="6"/>
      <c r="W80" s="6"/>
      <c r="X80" s="6"/>
      <c r="Y80" s="6"/>
      <c r="AA80">
        <v>1</v>
      </c>
      <c r="AD80">
        <f>AB80</f>
        <v>0</v>
      </c>
    </row>
    <row r="81" spans="1:37" ht="11.25" customHeight="1" x14ac:dyDescent="0.15">
      <c r="N81" s="6"/>
      <c r="O81" s="6"/>
      <c r="P81" s="6"/>
      <c r="Q81" s="6"/>
      <c r="R81" s="6"/>
      <c r="S81" s="6"/>
      <c r="T81" s="6"/>
      <c r="U81" s="6"/>
      <c r="V81" s="6"/>
      <c r="W81" s="6"/>
      <c r="X81" s="6"/>
      <c r="Y81" s="6"/>
      <c r="AB81" t="s">
        <v>1670</v>
      </c>
    </row>
    <row r="82" spans="1:37" ht="17.25" customHeight="1" x14ac:dyDescent="0.15"/>
    <row r="83" spans="1:37" ht="11.25" customHeight="1" x14ac:dyDescent="0.15">
      <c r="A83" t="s">
        <v>1674</v>
      </c>
    </row>
    <row r="84" spans="1:37" ht="17.25" customHeight="1" x14ac:dyDescent="0.15"/>
    <row r="85" spans="1:37" ht="11.25" customHeight="1" x14ac:dyDescent="0.15">
      <c r="AA85">
        <v>1</v>
      </c>
      <c r="AD85">
        <f>AB85</f>
        <v>0</v>
      </c>
    </row>
    <row r="86" spans="1:37" ht="17.25" customHeight="1" x14ac:dyDescent="0.15"/>
    <row r="87" spans="1:37" ht="11.25" customHeight="1" x14ac:dyDescent="0.15">
      <c r="A87" t="s">
        <v>1675</v>
      </c>
    </row>
    <row r="88" spans="1:37" ht="17.25" customHeight="1" x14ac:dyDescent="0.15"/>
    <row r="89" spans="1:37" ht="11.25" customHeight="1" x14ac:dyDescent="0.15">
      <c r="H89" s="6" t="s">
        <v>165</v>
      </c>
      <c r="I89" s="6"/>
      <c r="J89" s="6"/>
      <c r="K89" s="6"/>
      <c r="L89" s="6" t="s">
        <v>43</v>
      </c>
      <c r="M89" s="6"/>
      <c r="O89" t="s">
        <v>671</v>
      </c>
      <c r="AF89" s="6"/>
      <c r="AG89" s="6"/>
      <c r="AH89" s="6"/>
      <c r="AI89" s="6"/>
      <c r="AJ89" s="6"/>
      <c r="AK89" s="6"/>
    </row>
    <row r="90" spans="1:37" ht="11.25" customHeight="1" x14ac:dyDescent="0.15">
      <c r="H90" s="6"/>
      <c r="I90" s="6"/>
      <c r="J90" s="6"/>
      <c r="K90" s="6"/>
      <c r="L90" s="6"/>
      <c r="M90" s="6"/>
      <c r="N90" s="6"/>
      <c r="O90" s="6">
        <v>1</v>
      </c>
      <c r="P90" s="6" t="s">
        <v>43</v>
      </c>
      <c r="Q90" s="6" t="s">
        <v>4</v>
      </c>
      <c r="R90" s="6" t="s">
        <v>4</v>
      </c>
      <c r="S90" s="6" t="s">
        <v>4</v>
      </c>
      <c r="T90" s="6" t="s">
        <v>4</v>
      </c>
      <c r="U90" s="6" t="s">
        <v>4</v>
      </c>
      <c r="V90" s="6" t="s">
        <v>4</v>
      </c>
      <c r="W90" s="6" t="s">
        <v>4</v>
      </c>
      <c r="X90" s="6" t="s">
        <v>4</v>
      </c>
      <c r="Y90" s="6"/>
      <c r="AF90" s="6"/>
      <c r="AG90" s="6"/>
      <c r="AH90" s="6"/>
      <c r="AI90" s="6"/>
      <c r="AJ90" s="6"/>
      <c r="AK90" s="6"/>
    </row>
    <row r="91" spans="1:37" ht="11.25" customHeight="1" x14ac:dyDescent="0.15">
      <c r="H91" s="6"/>
      <c r="I91" s="6"/>
      <c r="J91" s="6"/>
      <c r="K91" s="6"/>
      <c r="L91" s="6"/>
      <c r="M91" s="6"/>
      <c r="N91" s="6"/>
      <c r="O91" s="6"/>
      <c r="P91" s="6"/>
      <c r="Q91" s="6"/>
      <c r="R91" s="6"/>
      <c r="S91" s="6"/>
      <c r="T91" s="6"/>
      <c r="U91" s="6"/>
      <c r="V91" s="6"/>
      <c r="W91" s="6"/>
      <c r="X91" s="6"/>
      <c r="Y91" s="6"/>
      <c r="AA91">
        <v>1</v>
      </c>
      <c r="AD91">
        <f>AB91</f>
        <v>0</v>
      </c>
      <c r="AF91" s="6"/>
      <c r="AG91" s="6"/>
      <c r="AH91" s="6"/>
      <c r="AI91" s="6"/>
      <c r="AJ91" s="6"/>
      <c r="AK91" s="6"/>
    </row>
    <row r="92" spans="1:37" ht="11.25" customHeight="1" x14ac:dyDescent="0.15">
      <c r="H92" s="6"/>
      <c r="I92" s="6"/>
      <c r="J92" s="6"/>
      <c r="K92" s="6"/>
      <c r="L92" s="6"/>
      <c r="M92" s="6"/>
      <c r="N92" s="6"/>
      <c r="O92" s="6"/>
      <c r="P92" s="6"/>
      <c r="Q92" s="6"/>
      <c r="R92" s="6"/>
      <c r="S92" s="6"/>
      <c r="T92" s="6"/>
      <c r="U92" s="6"/>
      <c r="V92" s="6"/>
      <c r="W92" s="6"/>
      <c r="X92" s="6"/>
      <c r="Y92" s="6"/>
      <c r="AB92" t="s">
        <v>1670</v>
      </c>
      <c r="AF92" s="6"/>
      <c r="AG92" s="6"/>
      <c r="AH92" s="6"/>
      <c r="AI92" s="6"/>
      <c r="AJ92" s="6"/>
      <c r="AK92" s="6"/>
    </row>
    <row r="93" spans="1:37" ht="11.25" customHeight="1" x14ac:dyDescent="0.15">
      <c r="H93" s="6"/>
      <c r="I93" s="6"/>
      <c r="J93" s="6"/>
      <c r="K93" s="6"/>
      <c r="L93" s="6"/>
      <c r="M93" s="6"/>
      <c r="P93" t="s">
        <v>1671</v>
      </c>
      <c r="AF93" s="6"/>
      <c r="AG93" s="6"/>
      <c r="AH93" s="6"/>
      <c r="AI93" s="6"/>
      <c r="AJ93" s="6"/>
      <c r="AK93" s="6"/>
    </row>
    <row r="94" spans="1:37" ht="17.25" customHeight="1" x14ac:dyDescent="0.15"/>
    <row r="95" spans="1:37" ht="11.25" customHeight="1" x14ac:dyDescent="0.15">
      <c r="A95" t="s">
        <v>1676</v>
      </c>
    </row>
    <row r="96" spans="1:37" ht="17.25" customHeight="1" x14ac:dyDescent="0.15"/>
    <row r="97" spans="1:34" ht="21" customHeight="1" x14ac:dyDescent="0.15">
      <c r="E97" t="s">
        <v>4</v>
      </c>
      <c r="F97" t="e">
        <f>INDEX(IP_MAIN_LIST_NAME_IP,MATCH(A97,IP_MAIN_LIST_IP_ID,0))&amp;" ("&amp;INDEX(IP_MAIN_START_DATE,MATCH(A97,IP_MAIN_LIST_IP_ID,0))&amp;"-"&amp;INDEX(IP_MAIN_END_DATE,MATCH(A97,IP_MAIN_LIST_IP_ID,0))&amp;")"</f>
        <v>#N/A</v>
      </c>
    </row>
    <row r="98" spans="1:34" ht="24.75" customHeight="1" x14ac:dyDescent="0.15">
      <c r="F98">
        <v>1</v>
      </c>
    </row>
    <row r="99" spans="1:34" ht="12" customHeight="1" x14ac:dyDescent="0.15">
      <c r="G99" t="s">
        <v>1677</v>
      </c>
    </row>
    <row r="100" spans="1:34" ht="17.25" customHeight="1" x14ac:dyDescent="0.15"/>
    <row r="101" spans="1:34" ht="11.25" customHeight="1" x14ac:dyDescent="0.15">
      <c r="A101" t="s">
        <v>1678</v>
      </c>
    </row>
    <row r="102" spans="1:34" ht="17.25" customHeight="1" x14ac:dyDescent="0.15"/>
    <row r="103" spans="1:34" ht="15" customHeight="1" x14ac:dyDescent="0.15">
      <c r="D103" s="6" t="s">
        <v>165</v>
      </c>
      <c r="E103" s="6" t="s">
        <v>355</v>
      </c>
      <c r="F103" s="6"/>
      <c r="G103" s="6"/>
      <c r="H103" s="6" t="str">
        <f>IF(A103="","",INDEX(DIFFERENTIATION_UNMERGE_VD,MATCH(A103,DIFFERENTIATION_ID_DIFF,0)))</f>
        <v/>
      </c>
      <c r="I103" s="6"/>
      <c r="J103" s="6"/>
      <c r="K103" s="6"/>
      <c r="L103" s="6"/>
      <c r="M103" s="6"/>
      <c r="N103" s="6"/>
      <c r="O103" s="6"/>
      <c r="P103" s="6"/>
      <c r="Q103" s="6"/>
      <c r="R103" s="6"/>
      <c r="AC103" s="6"/>
      <c r="AE103" t="s">
        <v>4</v>
      </c>
      <c r="AG103" t="s">
        <v>1679</v>
      </c>
      <c r="AH103">
        <v>3</v>
      </c>
    </row>
    <row r="104" spans="1:34" ht="15" customHeight="1" x14ac:dyDescent="0.15">
      <c r="D104" s="6"/>
      <c r="E104" s="6" t="s">
        <v>1680</v>
      </c>
      <c r="F104" s="6"/>
      <c r="G104" s="6"/>
      <c r="H104" s="6" t="str">
        <f>IF(A103="","",INDEX(DIFFERENTIATION_UNMERGE_AREA,MATCH(A103,DIFFERENTIATION_ID_DIFF,0)))</f>
        <v/>
      </c>
      <c r="I104" s="6"/>
      <c r="J104" s="6"/>
      <c r="K104" s="6"/>
      <c r="L104" s="6"/>
      <c r="M104" s="6"/>
      <c r="N104" s="6"/>
      <c r="O104" s="6"/>
      <c r="P104" s="6"/>
      <c r="Q104" s="6"/>
      <c r="R104" s="6"/>
      <c r="AC104" s="6"/>
    </row>
    <row r="105" spans="1:34" ht="15" customHeight="1" x14ac:dyDescent="0.15">
      <c r="D105" s="6"/>
      <c r="E105" s="6" t="s">
        <v>1681</v>
      </c>
      <c r="F105" s="6"/>
      <c r="G105" s="6"/>
      <c r="H105" s="6" t="str">
        <f>IF(A103="","",INDEX(DIFFERENTIATION_UNMERGE_SYSTEM,MATCH(A103,DIFFERENTIATION_ID_DIFF,0)))</f>
        <v/>
      </c>
      <c r="I105" s="6"/>
      <c r="J105" s="6"/>
      <c r="K105" s="6"/>
      <c r="L105" s="6"/>
      <c r="M105" s="6"/>
      <c r="N105" s="6"/>
      <c r="O105" s="6"/>
      <c r="P105" s="6"/>
      <c r="Q105" s="6"/>
      <c r="R105" s="6"/>
      <c r="AC105" s="6"/>
    </row>
    <row r="106" spans="1:34" ht="24.75" customHeight="1" x14ac:dyDescent="0.15">
      <c r="D106" s="6"/>
      <c r="E106" s="6" t="s">
        <v>1682</v>
      </c>
      <c r="F106" s="6"/>
      <c r="G106" s="6"/>
      <c r="H106" s="6"/>
      <c r="I106" s="6"/>
      <c r="J106" s="6"/>
      <c r="K106" s="6"/>
      <c r="L106" s="6"/>
      <c r="M106" s="6"/>
      <c r="N106" s="6"/>
      <c r="O106" s="6"/>
      <c r="P106" s="6"/>
      <c r="Q106">
        <f>SUMIF(T107:T108,"i",Q107:Q108)</f>
        <v>0</v>
      </c>
      <c r="S106" t="s">
        <v>1683</v>
      </c>
      <c r="T106" t="s">
        <v>1684</v>
      </c>
      <c r="U106" s="6">
        <v>1</v>
      </c>
      <c r="V106" s="6" t="s">
        <v>1685</v>
      </c>
      <c r="AC106" s="6"/>
    </row>
    <row r="107" spans="1:34" ht="11.25" hidden="1" customHeight="1" x14ac:dyDescent="0.15">
      <c r="D107" s="6"/>
      <c r="F107">
        <v>0</v>
      </c>
      <c r="U107" s="6"/>
      <c r="V107" s="6"/>
      <c r="AC107" s="6"/>
    </row>
    <row r="108" spans="1:34" ht="11.25" customHeight="1" x14ac:dyDescent="0.15">
      <c r="D108" s="6"/>
      <c r="E108" t="s">
        <v>4</v>
      </c>
      <c r="F108" t="s">
        <v>4</v>
      </c>
      <c r="G108" t="s">
        <v>1686</v>
      </c>
      <c r="H108" t="s">
        <v>4</v>
      </c>
      <c r="U108" s="6"/>
      <c r="V108" s="6"/>
      <c r="AC108" s="6"/>
    </row>
    <row r="109" spans="1:34" ht="24.75" customHeight="1" x14ac:dyDescent="0.15">
      <c r="D109" s="6"/>
      <c r="E109" s="6" t="s">
        <v>1687</v>
      </c>
      <c r="F109" s="6"/>
      <c r="G109" s="6"/>
      <c r="H109" s="6"/>
      <c r="I109" s="6"/>
      <c r="J109" s="6"/>
      <c r="K109" s="6"/>
      <c r="L109" s="6"/>
      <c r="M109" s="6"/>
      <c r="N109" s="6"/>
      <c r="O109" s="6"/>
      <c r="P109" s="6"/>
      <c r="Q109">
        <f>SUMIF(T110:T111,"i",Q110:Q111)</f>
        <v>0</v>
      </c>
      <c r="S109" t="s">
        <v>1688</v>
      </c>
      <c r="T109" t="s">
        <v>1684</v>
      </c>
      <c r="U109" s="6">
        <v>1</v>
      </c>
      <c r="V109" s="6" t="s">
        <v>1685</v>
      </c>
    </row>
    <row r="110" spans="1:34" ht="11.25" hidden="1" customHeight="1" x14ac:dyDescent="0.15">
      <c r="D110" s="6"/>
      <c r="F110">
        <v>0</v>
      </c>
      <c r="U110" s="6"/>
      <c r="V110" s="6"/>
    </row>
    <row r="111" spans="1:34" ht="11.25" customHeight="1" x14ac:dyDescent="0.15">
      <c r="D111" s="6"/>
      <c r="E111" t="s">
        <v>4</v>
      </c>
      <c r="F111" t="s">
        <v>4</v>
      </c>
      <c r="G111" t="s">
        <v>1686</v>
      </c>
      <c r="H111" t="s">
        <v>4</v>
      </c>
      <c r="U111" s="6"/>
      <c r="V111" s="6"/>
    </row>
    <row r="112" spans="1:34" ht="17.25" customHeight="1" x14ac:dyDescent="0.15"/>
    <row r="113" spans="1:34" ht="11.25" customHeight="1" x14ac:dyDescent="0.15">
      <c r="A113" t="s">
        <v>1689</v>
      </c>
    </row>
    <row r="114" spans="1:34" ht="17.25" customHeight="1" x14ac:dyDescent="0.15"/>
    <row r="115" spans="1:34" ht="15" hidden="1" customHeight="1" x14ac:dyDescent="0.15">
      <c r="D115" s="6" t="s">
        <v>165</v>
      </c>
      <c r="E115" s="6" t="s">
        <v>355</v>
      </c>
      <c r="F115" s="6"/>
      <c r="G115" s="6"/>
      <c r="H115" s="6" t="str">
        <f>IF(A115="","",INDEX(DIFFERENTIATION_UNMERGE_VD,MATCH(A115,DIFFERENTIATION_ID_DIFF,0)))</f>
        <v/>
      </c>
      <c r="I115" s="6"/>
      <c r="J115" s="6"/>
      <c r="K115" s="6"/>
      <c r="L115" s="6"/>
      <c r="M115" s="6"/>
      <c r="N115" s="6"/>
      <c r="O115" s="6"/>
      <c r="P115" s="6"/>
      <c r="Q115" s="6"/>
      <c r="R115" s="6"/>
      <c r="AC115" s="6"/>
      <c r="AE115" t="s">
        <v>4</v>
      </c>
      <c r="AG115" t="s">
        <v>1679</v>
      </c>
      <c r="AH115">
        <v>3</v>
      </c>
    </row>
    <row r="116" spans="1:34" ht="15" hidden="1" customHeight="1" x14ac:dyDescent="0.15">
      <c r="D116" s="6"/>
      <c r="E116" s="6" t="s">
        <v>1680</v>
      </c>
      <c r="F116" s="6"/>
      <c r="G116" s="6"/>
      <c r="H116" s="6" t="str">
        <f>IF(A115="","",INDEX(DIFFERENTIATION_UNMERGE_AREA,MATCH(A115,DIFFERENTIATION_ID_DIFF,0)))</f>
        <v/>
      </c>
      <c r="I116" s="6"/>
      <c r="J116" s="6"/>
      <c r="K116" s="6"/>
      <c r="L116" s="6"/>
      <c r="M116" s="6"/>
      <c r="N116" s="6"/>
      <c r="O116" s="6"/>
      <c r="P116" s="6"/>
      <c r="Q116" s="6"/>
      <c r="R116" s="6"/>
      <c r="AC116" s="6"/>
    </row>
    <row r="117" spans="1:34" ht="15" hidden="1" customHeight="1" x14ac:dyDescent="0.15">
      <c r="D117" s="6"/>
      <c r="E117" s="6" t="s">
        <v>1681</v>
      </c>
      <c r="F117" s="6"/>
      <c r="G117" s="6"/>
      <c r="H117" s="6" t="str">
        <f>IF(A115="","",INDEX(DIFFERENTIATION_UNMERGE_SYSTEM,MATCH(A115,DIFFERENTIATION_ID_DIFF,0)))</f>
        <v/>
      </c>
      <c r="I117" s="6"/>
      <c r="J117" s="6"/>
      <c r="K117" s="6"/>
      <c r="L117" s="6"/>
      <c r="M117" s="6"/>
      <c r="N117" s="6"/>
      <c r="O117" s="6"/>
      <c r="P117" s="6"/>
      <c r="Q117" s="6"/>
      <c r="R117" s="6"/>
      <c r="AC117" s="6"/>
    </row>
    <row r="118" spans="1:34" ht="24.75" hidden="1" customHeight="1" x14ac:dyDescent="0.15">
      <c r="D118" s="6"/>
      <c r="E118" s="6" t="s">
        <v>1682</v>
      </c>
      <c r="F118" s="6"/>
      <c r="G118" s="6"/>
      <c r="H118" s="6"/>
      <c r="I118" s="6"/>
      <c r="J118" s="6"/>
      <c r="K118" s="6"/>
      <c r="L118" s="6"/>
      <c r="M118" s="6"/>
      <c r="N118" s="6"/>
      <c r="O118" s="6"/>
      <c r="P118" s="6"/>
      <c r="Q118">
        <f>SUMIF(T119:T120,"i",Q119:Q120)</f>
        <v>0</v>
      </c>
      <c r="S118" t="s">
        <v>1683</v>
      </c>
      <c r="T118" t="s">
        <v>1684</v>
      </c>
      <c r="U118" s="6">
        <v>1</v>
      </c>
      <c r="V118" s="6" t="s">
        <v>1685</v>
      </c>
      <c r="AC118" s="6"/>
    </row>
    <row r="119" spans="1:34" ht="11.25" hidden="1" customHeight="1" x14ac:dyDescent="0.15">
      <c r="D119" s="6"/>
      <c r="F119">
        <v>0</v>
      </c>
      <c r="U119" s="6"/>
      <c r="V119" s="6"/>
      <c r="AC119" s="6"/>
    </row>
    <row r="120" spans="1:34" ht="11.25" hidden="1" customHeight="1" x14ac:dyDescent="0.15">
      <c r="D120" s="6"/>
      <c r="E120" t="s">
        <v>4</v>
      </c>
      <c r="F120" t="s">
        <v>4</v>
      </c>
      <c r="G120" t="s">
        <v>1686</v>
      </c>
      <c r="H120" t="s">
        <v>4</v>
      </c>
      <c r="U120" s="6"/>
      <c r="V120" s="6"/>
      <c r="AC120" s="6"/>
    </row>
    <row r="121" spans="1:34" ht="5.25" hidden="1" customHeight="1" x14ac:dyDescent="0.15">
      <c r="D121" s="6"/>
      <c r="T121" t="s">
        <v>1684</v>
      </c>
      <c r="U121" s="6">
        <v>1</v>
      </c>
      <c r="V121" s="6" t="s">
        <v>1685</v>
      </c>
    </row>
    <row r="122" spans="1:34" ht="5.25" hidden="1" customHeight="1" x14ac:dyDescent="0.15">
      <c r="D122" s="6"/>
      <c r="U122" s="6"/>
      <c r="V122" s="6"/>
    </row>
    <row r="123" spans="1:34" ht="5.25" hidden="1" customHeight="1" x14ac:dyDescent="0.15">
      <c r="D123" s="6"/>
      <c r="U123" s="6"/>
      <c r="V123" s="6"/>
    </row>
    <row r="124" spans="1:34" ht="17.25" customHeight="1" x14ac:dyDescent="0.15"/>
    <row r="125" spans="1:34" ht="11.25" customHeight="1" x14ac:dyDescent="0.15">
      <c r="A125" t="s">
        <v>1690</v>
      </c>
    </row>
    <row r="126" spans="1:34" ht="17.25" customHeight="1" x14ac:dyDescent="0.15"/>
    <row r="127" spans="1:34" ht="45" customHeight="1" x14ac:dyDescent="0.15">
      <c r="E127" s="6"/>
      <c r="F127" s="6" t="s">
        <v>165</v>
      </c>
      <c r="G127" s="6" t="s">
        <v>4</v>
      </c>
      <c r="I127" t="s">
        <v>165</v>
      </c>
      <c r="J127" t="s">
        <v>1691</v>
      </c>
      <c r="K127" t="s">
        <v>1692</v>
      </c>
      <c r="L127" s="6" t="s">
        <v>1692</v>
      </c>
      <c r="M127" s="6"/>
      <c r="N127" t="s">
        <v>1692</v>
      </c>
      <c r="O127" t="s">
        <v>1692</v>
      </c>
      <c r="P127" t="s">
        <v>1692</v>
      </c>
      <c r="Q127">
        <f>SUM(Q128:Q130)</f>
        <v>0</v>
      </c>
      <c r="R127">
        <f>IF(R124=0,0,(Q124/R124)*100)</f>
        <v>0</v>
      </c>
      <c r="S127" s="6"/>
      <c r="T127" t="s">
        <v>1684</v>
      </c>
    </row>
    <row r="128" spans="1:34" ht="11.25" customHeight="1" x14ac:dyDescent="0.15">
      <c r="E128" s="6"/>
      <c r="F128" s="6"/>
      <c r="G128" s="6"/>
      <c r="H128" s="6"/>
      <c r="I128" s="6" t="s">
        <v>914</v>
      </c>
      <c r="J128" s="6"/>
      <c r="K128" s="6"/>
      <c r="M128" t="s">
        <v>165</v>
      </c>
      <c r="R128">
        <v>0</v>
      </c>
      <c r="S128" s="6"/>
    </row>
    <row r="129" spans="1:22" ht="11.25" customHeight="1" x14ac:dyDescent="0.15">
      <c r="E129" s="6"/>
      <c r="F129" s="6"/>
      <c r="G129" s="6"/>
      <c r="H129" s="6"/>
      <c r="I129" s="6"/>
      <c r="J129" s="6"/>
      <c r="K129" s="6"/>
      <c r="N129" t="s">
        <v>1693</v>
      </c>
      <c r="S129" s="6"/>
    </row>
    <row r="130" spans="1:22" ht="11.25" customHeight="1" x14ac:dyDescent="0.15">
      <c r="E130" s="6"/>
      <c r="F130" s="6"/>
      <c r="G130" s="6"/>
      <c r="H130" t="s">
        <v>4</v>
      </c>
      <c r="J130" t="s">
        <v>1694</v>
      </c>
      <c r="S130" s="6"/>
    </row>
    <row r="131" spans="1:22" ht="17.25" customHeight="1" x14ac:dyDescent="0.15"/>
    <row r="132" spans="1:22" ht="17.25" customHeight="1" x14ac:dyDescent="0.15"/>
    <row r="133" spans="1:22" ht="17.25" customHeight="1" x14ac:dyDescent="0.15"/>
    <row r="135" spans="1:22" ht="11.25" customHeight="1" x14ac:dyDescent="0.15">
      <c r="H135" s="6"/>
      <c r="I135" s="6" t="s">
        <v>914</v>
      </c>
      <c r="J135" s="6"/>
      <c r="K135" s="6"/>
      <c r="M135" t="s">
        <v>165</v>
      </c>
      <c r="R135">
        <v>0</v>
      </c>
    </row>
    <row r="136" spans="1:22" ht="11.25" customHeight="1" x14ac:dyDescent="0.15">
      <c r="H136" s="6"/>
      <c r="I136" s="6"/>
      <c r="J136" s="6"/>
      <c r="K136" s="6"/>
      <c r="N136" t="s">
        <v>1693</v>
      </c>
    </row>
    <row r="137" spans="1:22" ht="17.25" customHeight="1" x14ac:dyDescent="0.15"/>
    <row r="138" spans="1:22" ht="11.25" customHeight="1" x14ac:dyDescent="0.15">
      <c r="M138" t="s">
        <v>165</v>
      </c>
      <c r="R138">
        <v>0</v>
      </c>
    </row>
    <row r="139" spans="1:22" ht="17.25" customHeight="1" x14ac:dyDescent="0.15"/>
    <row r="140" spans="1:22" ht="17.25" customHeight="1" x14ac:dyDescent="0.15">
      <c r="A140" t="s">
        <v>1695</v>
      </c>
    </row>
    <row r="141" spans="1:22" ht="17.25" customHeight="1" x14ac:dyDescent="0.15"/>
    <row r="142" spans="1:22" ht="17.25" customHeight="1" x14ac:dyDescent="0.15">
      <c r="D142" s="6"/>
      <c r="E142" s="6"/>
      <c r="F142" s="6"/>
      <c r="G142" s="6"/>
      <c r="H142" s="6"/>
      <c r="I142" s="6">
        <v>1</v>
      </c>
      <c r="J142" s="6"/>
      <c r="K142" s="6" t="s">
        <v>50</v>
      </c>
      <c r="L142" s="6"/>
      <c r="M142" s="6" t="s">
        <v>165</v>
      </c>
      <c r="N142" s="6" t="str">
        <f>IF(Z142="","",INDEX(TERRITORY_MR_LIST,MATCH(Z142,TERRITORY_LIST_ID,0)))</f>
        <v/>
      </c>
      <c r="O142" s="6" t="s">
        <v>50</v>
      </c>
      <c r="P142" s="6"/>
      <c r="Q142" s="6" t="s">
        <v>165</v>
      </c>
      <c r="R142" s="6" t="s">
        <v>4</v>
      </c>
      <c r="S142" s="6" t="s">
        <v>50</v>
      </c>
      <c r="U142" t="s">
        <v>165</v>
      </c>
      <c r="V142" t="s">
        <v>4</v>
      </c>
    </row>
    <row r="143" spans="1:22" ht="17.25" customHeight="1" x14ac:dyDescent="0.15">
      <c r="D143" s="6"/>
      <c r="E143" s="6"/>
      <c r="F143" s="6"/>
      <c r="G143" s="6"/>
      <c r="H143" s="6"/>
      <c r="I143" s="6"/>
      <c r="J143" s="6"/>
      <c r="K143" s="6"/>
      <c r="L143" s="6"/>
      <c r="M143" s="6"/>
      <c r="N143" s="6"/>
      <c r="O143" s="6"/>
      <c r="P143" s="6"/>
      <c r="Q143" s="6"/>
      <c r="R143" s="6"/>
      <c r="S143" s="6"/>
      <c r="V143" t="s">
        <v>1696</v>
      </c>
    </row>
    <row r="144" spans="1:22" ht="17.25" customHeight="1" x14ac:dyDescent="0.15">
      <c r="D144" s="6"/>
      <c r="E144" s="6"/>
      <c r="F144" s="6"/>
      <c r="G144" s="6"/>
      <c r="H144" s="6"/>
      <c r="I144" s="6"/>
      <c r="J144" s="6"/>
      <c r="K144" s="6"/>
      <c r="L144" s="6"/>
      <c r="M144" s="6"/>
      <c r="N144" s="6"/>
      <c r="O144" s="6"/>
      <c r="R144" t="s">
        <v>1697</v>
      </c>
    </row>
    <row r="145" spans="4:22" ht="17.25" customHeight="1" x14ac:dyDescent="0.15">
      <c r="D145" s="6"/>
      <c r="E145" s="6"/>
      <c r="F145" s="6"/>
      <c r="G145" s="6"/>
      <c r="H145" s="6"/>
      <c r="I145" s="6"/>
      <c r="J145" s="6"/>
      <c r="K145" s="6"/>
      <c r="N145" t="s">
        <v>1698</v>
      </c>
    </row>
    <row r="146" spans="4:22" ht="17.25" customHeight="1" x14ac:dyDescent="0.15">
      <c r="D146" s="6"/>
      <c r="E146" s="6"/>
      <c r="F146" s="6"/>
      <c r="G146" s="6"/>
      <c r="J146" t="s">
        <v>1699</v>
      </c>
    </row>
    <row r="147" spans="4:22" ht="17.25" customHeight="1" x14ac:dyDescent="0.15"/>
    <row r="148" spans="4:22" ht="17.25" customHeight="1" x14ac:dyDescent="0.15">
      <c r="H148" s="6"/>
      <c r="I148" s="6">
        <v>1</v>
      </c>
      <c r="J148" s="6"/>
      <c r="K148" s="6" t="s">
        <v>50</v>
      </c>
      <c r="L148" s="6"/>
      <c r="M148" s="6" t="s">
        <v>165</v>
      </c>
      <c r="N148" s="6" t="str">
        <f>IF(Z148="","",INDEX(TERRITORY_MR_LIST,MATCH(Z148,TERRITORY_LIST_ID,0)))</f>
        <v/>
      </c>
      <c r="O148" s="6" t="s">
        <v>50</v>
      </c>
      <c r="P148" s="6"/>
      <c r="Q148" s="6" t="s">
        <v>165</v>
      </c>
      <c r="R148" s="6" t="s">
        <v>4</v>
      </c>
      <c r="S148" s="6" t="s">
        <v>50</v>
      </c>
      <c r="U148" t="s">
        <v>165</v>
      </c>
      <c r="V148" t="s">
        <v>4</v>
      </c>
    </row>
    <row r="149" spans="4:22" ht="17.25" customHeight="1" x14ac:dyDescent="0.15">
      <c r="H149" s="6"/>
      <c r="I149" s="6"/>
      <c r="J149" s="6"/>
      <c r="K149" s="6"/>
      <c r="L149" s="6"/>
      <c r="M149" s="6"/>
      <c r="N149" s="6"/>
      <c r="O149" s="6"/>
      <c r="P149" s="6"/>
      <c r="Q149" s="6"/>
      <c r="R149" s="6"/>
      <c r="S149" s="6"/>
      <c r="V149" t="s">
        <v>1696</v>
      </c>
    </row>
    <row r="150" spans="4:22" ht="17.25" customHeight="1" x14ac:dyDescent="0.15">
      <c r="H150" s="6"/>
      <c r="I150" s="6"/>
      <c r="J150" s="6"/>
      <c r="K150" s="6"/>
      <c r="L150" s="6"/>
      <c r="M150" s="6"/>
      <c r="N150" s="6"/>
      <c r="O150" s="6"/>
      <c r="R150" t="s">
        <v>1697</v>
      </c>
    </row>
    <row r="151" spans="4:22" ht="17.25" customHeight="1" x14ac:dyDescent="0.15">
      <c r="H151" s="6"/>
      <c r="I151" s="6"/>
      <c r="J151" s="6"/>
      <c r="K151" s="6"/>
      <c r="N151" t="s">
        <v>1698</v>
      </c>
    </row>
    <row r="152" spans="4:22" ht="17.25" customHeight="1" x14ac:dyDescent="0.15"/>
    <row r="153" spans="4:22" ht="17.25" customHeight="1" x14ac:dyDescent="0.15">
      <c r="L153" s="6"/>
      <c r="M153" s="6" t="s">
        <v>165</v>
      </c>
      <c r="N153" s="6" t="str">
        <f>IF(Z153="","",INDEX(TERRITORY_MR_LIST,MATCH(Z153,TERRITORY_LIST_ID,0)))</f>
        <v/>
      </c>
      <c r="O153" s="6" t="s">
        <v>50</v>
      </c>
      <c r="P153" s="6"/>
      <c r="Q153" s="6" t="s">
        <v>165</v>
      </c>
      <c r="R153" s="6" t="s">
        <v>4</v>
      </c>
      <c r="S153" s="6" t="s">
        <v>50</v>
      </c>
      <c r="U153" t="s">
        <v>165</v>
      </c>
      <c r="V153" t="s">
        <v>4</v>
      </c>
    </row>
    <row r="154" spans="4:22" ht="17.25" customHeight="1" x14ac:dyDescent="0.15">
      <c r="L154" s="6"/>
      <c r="M154" s="6"/>
      <c r="N154" s="6"/>
      <c r="O154" s="6"/>
      <c r="P154" s="6"/>
      <c r="Q154" s="6"/>
      <c r="R154" s="6"/>
      <c r="S154" s="6"/>
      <c r="V154" t="s">
        <v>1696</v>
      </c>
    </row>
    <row r="155" spans="4:22" ht="17.25" customHeight="1" x14ac:dyDescent="0.15">
      <c r="L155" s="6"/>
      <c r="M155" s="6"/>
      <c r="N155" s="6"/>
      <c r="O155" s="6"/>
      <c r="R155" t="s">
        <v>1697</v>
      </c>
    </row>
    <row r="156" spans="4:22" ht="17.25" customHeight="1" x14ac:dyDescent="0.15"/>
    <row r="157" spans="4:22" ht="17.25" customHeight="1" x14ac:dyDescent="0.15">
      <c r="P157" s="6"/>
      <c r="Q157" s="6" t="s">
        <v>165</v>
      </c>
      <c r="R157" s="6" t="s">
        <v>4</v>
      </c>
      <c r="S157" s="6" t="s">
        <v>50</v>
      </c>
      <c r="U157" t="s">
        <v>165</v>
      </c>
      <c r="V157" t="s">
        <v>4</v>
      </c>
    </row>
    <row r="158" spans="4:22" ht="17.25" customHeight="1" x14ac:dyDescent="0.15">
      <c r="P158" s="6"/>
      <c r="Q158" s="6"/>
      <c r="R158" s="6"/>
      <c r="S158" s="6"/>
      <c r="V158" t="s">
        <v>1696</v>
      </c>
    </row>
    <row r="159" spans="4:22" ht="17.25" customHeight="1" x14ac:dyDescent="0.15"/>
    <row r="160" spans="4:22" ht="17.25" customHeight="1" x14ac:dyDescent="0.15">
      <c r="U160" t="s">
        <v>165</v>
      </c>
      <c r="V160" t="s">
        <v>4</v>
      </c>
    </row>
    <row r="161" spans="1:23" ht="17.25" customHeight="1" x14ac:dyDescent="0.15"/>
    <row r="162" spans="1:23" ht="17.25" customHeight="1" x14ac:dyDescent="0.15">
      <c r="A162" t="s">
        <v>1700</v>
      </c>
    </row>
    <row r="163" spans="1:23" ht="17.25" customHeight="1" x14ac:dyDescent="0.15"/>
    <row r="164" spans="1:23" ht="17.25" customHeight="1" x14ac:dyDescent="0.15">
      <c r="D164" s="6"/>
      <c r="E164" s="6"/>
      <c r="F164" s="6"/>
      <c r="G164" s="6"/>
      <c r="H164" s="6"/>
      <c r="I164" s="6">
        <v>1</v>
      </c>
      <c r="J164" s="6"/>
      <c r="K164" s="6" t="s">
        <v>50</v>
      </c>
      <c r="L164" s="6"/>
      <c r="M164" s="6" t="s">
        <v>165</v>
      </c>
      <c r="N164" s="6" t="str">
        <f>IF(Z164="","",INDEX(TERRITORY_MR_LIST,MATCH(Z164,TERRITORY_LIST_ID,0)))</f>
        <v/>
      </c>
      <c r="O164" s="6" t="s">
        <v>50</v>
      </c>
      <c r="P164" s="6"/>
      <c r="Q164" s="6" t="s">
        <v>165</v>
      </c>
      <c r="R164" s="6" t="s">
        <v>4</v>
      </c>
      <c r="S164" s="6" t="s">
        <v>43</v>
      </c>
      <c r="U164" t="s">
        <v>165</v>
      </c>
      <c r="W164" s="6"/>
    </row>
    <row r="165" spans="1:23" ht="17.25" customHeight="1" x14ac:dyDescent="0.15">
      <c r="D165" s="6"/>
      <c r="E165" s="6"/>
      <c r="F165" s="6"/>
      <c r="G165" s="6"/>
      <c r="H165" s="6"/>
      <c r="I165" s="6"/>
      <c r="J165" s="6"/>
      <c r="K165" s="6"/>
      <c r="L165" s="6"/>
      <c r="M165" s="6"/>
      <c r="N165" s="6"/>
      <c r="O165" s="6"/>
      <c r="P165" s="6"/>
      <c r="Q165" s="6"/>
      <c r="R165" s="6"/>
      <c r="S165" s="6"/>
      <c r="W165" s="6"/>
    </row>
    <row r="166" spans="1:23" ht="17.25" customHeight="1" x14ac:dyDescent="0.15">
      <c r="D166" s="6"/>
      <c r="E166" s="6"/>
      <c r="F166" s="6"/>
      <c r="G166" s="6"/>
      <c r="H166" s="6"/>
      <c r="I166" s="6"/>
      <c r="J166" s="6"/>
      <c r="K166" s="6"/>
      <c r="L166" s="6"/>
      <c r="M166" s="6"/>
      <c r="N166" s="6"/>
      <c r="O166" s="6"/>
      <c r="R166" t="s">
        <v>1697</v>
      </c>
    </row>
    <row r="167" spans="1:23" ht="17.25" customHeight="1" x14ac:dyDescent="0.15">
      <c r="D167" s="6"/>
      <c r="E167" s="6"/>
      <c r="F167" s="6"/>
      <c r="G167" s="6"/>
      <c r="H167" s="6"/>
      <c r="I167" s="6"/>
      <c r="J167" s="6"/>
      <c r="K167" s="6"/>
      <c r="N167" t="s">
        <v>1698</v>
      </c>
    </row>
    <row r="168" spans="1:23" ht="17.25" customHeight="1" x14ac:dyDescent="0.15">
      <c r="D168" s="6"/>
      <c r="E168" s="6"/>
      <c r="F168" s="6"/>
      <c r="G168" s="6"/>
      <c r="J168" t="s">
        <v>1699</v>
      </c>
    </row>
    <row r="169" spans="1:23" ht="17.25" customHeight="1" x14ac:dyDescent="0.15"/>
    <row r="170" spans="1:23" ht="17.25" customHeight="1" x14ac:dyDescent="0.15">
      <c r="H170" s="6"/>
      <c r="I170" s="6">
        <v>1</v>
      </c>
      <c r="J170" s="6"/>
      <c r="K170" s="6" t="s">
        <v>50</v>
      </c>
      <c r="L170" s="6"/>
      <c r="M170" s="6" t="s">
        <v>165</v>
      </c>
      <c r="N170" s="6" t="str">
        <f>IF(Z170="","",INDEX(TERRITORY_MR_LIST,MATCH(Z170,TERRITORY_LIST_ID,0)))</f>
        <v/>
      </c>
      <c r="O170" s="6" t="s">
        <v>50</v>
      </c>
      <c r="P170" s="6"/>
      <c r="Q170" s="6" t="s">
        <v>165</v>
      </c>
      <c r="R170" s="6" t="s">
        <v>4</v>
      </c>
      <c r="S170" s="6" t="s">
        <v>43</v>
      </c>
      <c r="U170" t="s">
        <v>165</v>
      </c>
      <c r="W170" s="6"/>
    </row>
    <row r="171" spans="1:23" ht="17.25" customHeight="1" x14ac:dyDescent="0.15">
      <c r="H171" s="6"/>
      <c r="I171" s="6"/>
      <c r="J171" s="6"/>
      <c r="K171" s="6"/>
      <c r="L171" s="6"/>
      <c r="M171" s="6"/>
      <c r="N171" s="6"/>
      <c r="O171" s="6"/>
      <c r="P171" s="6"/>
      <c r="Q171" s="6"/>
      <c r="R171" s="6"/>
      <c r="S171" s="6"/>
      <c r="W171" s="6"/>
    </row>
    <row r="172" spans="1:23" ht="17.25" customHeight="1" x14ac:dyDescent="0.15">
      <c r="H172" s="6"/>
      <c r="I172" s="6"/>
      <c r="J172" s="6"/>
      <c r="K172" s="6"/>
      <c r="L172" s="6"/>
      <c r="M172" s="6"/>
      <c r="N172" s="6"/>
      <c r="O172" s="6"/>
      <c r="R172" t="s">
        <v>1697</v>
      </c>
    </row>
    <row r="173" spans="1:23" ht="17.25" customHeight="1" x14ac:dyDescent="0.15">
      <c r="H173" s="6"/>
      <c r="I173" s="6"/>
      <c r="J173" s="6"/>
      <c r="K173" s="6"/>
      <c r="N173" t="s">
        <v>1698</v>
      </c>
    </row>
    <row r="174" spans="1:23" ht="17.25" customHeight="1" x14ac:dyDescent="0.15"/>
    <row r="175" spans="1:23" ht="17.25" customHeight="1" x14ac:dyDescent="0.15">
      <c r="L175" s="6"/>
      <c r="M175" s="6" t="s">
        <v>165</v>
      </c>
      <c r="N175" s="6" t="str">
        <f>IF(Z175="","",INDEX(TERRITORY_MR_LIST,MATCH(Z175,TERRITORY_LIST_ID,0)))</f>
        <v/>
      </c>
      <c r="O175" s="6" t="s">
        <v>50</v>
      </c>
      <c r="P175" s="6"/>
      <c r="Q175" s="6" t="s">
        <v>165</v>
      </c>
      <c r="R175" s="6" t="s">
        <v>4</v>
      </c>
      <c r="S175" s="6" t="s">
        <v>43</v>
      </c>
      <c r="U175" t="s">
        <v>165</v>
      </c>
      <c r="W175" s="6"/>
    </row>
    <row r="176" spans="1:23" ht="17.25" customHeight="1" x14ac:dyDescent="0.15">
      <c r="L176" s="6"/>
      <c r="M176" s="6"/>
      <c r="N176" s="6"/>
      <c r="O176" s="6"/>
      <c r="P176" s="6"/>
      <c r="Q176" s="6"/>
      <c r="R176" s="6"/>
      <c r="S176" s="6"/>
      <c r="W176" s="6"/>
    </row>
    <row r="177" spans="1:35" ht="17.25" customHeight="1" x14ac:dyDescent="0.15">
      <c r="L177" s="6"/>
      <c r="M177" s="6"/>
      <c r="N177" s="6"/>
      <c r="O177" s="6"/>
      <c r="R177" t="s">
        <v>1697</v>
      </c>
    </row>
    <row r="178" spans="1:35" ht="17.25" customHeight="1" x14ac:dyDescent="0.15"/>
    <row r="179" spans="1:35" ht="17.25" customHeight="1" x14ac:dyDescent="0.15">
      <c r="P179" s="6"/>
      <c r="Q179" s="6" t="s">
        <v>165</v>
      </c>
      <c r="R179" s="6" t="s">
        <v>4</v>
      </c>
      <c r="S179" s="6" t="s">
        <v>43</v>
      </c>
      <c r="U179" t="s">
        <v>165</v>
      </c>
      <c r="W179" s="6"/>
    </row>
    <row r="180" spans="1:35" ht="17.25" customHeight="1" x14ac:dyDescent="0.15">
      <c r="P180" s="6"/>
      <c r="Q180" s="6"/>
      <c r="R180" s="6"/>
      <c r="S180" s="6"/>
      <c r="W180" s="6"/>
    </row>
    <row r="181" spans="1:35" ht="17.25" customHeight="1" x14ac:dyDescent="0.15"/>
    <row r="182" spans="1:35" ht="16.5" customHeight="1" x14ac:dyDescent="0.15">
      <c r="D182" s="6"/>
      <c r="E182" s="6"/>
      <c r="F182" s="6"/>
      <c r="G182" s="6"/>
      <c r="H182" s="6"/>
      <c r="I182" s="6"/>
      <c r="J182" s="6"/>
      <c r="K182" s="6"/>
      <c r="L182" s="6"/>
      <c r="M182" s="6"/>
      <c r="N182" s="6"/>
      <c r="O182" s="6"/>
      <c r="P182" s="6"/>
      <c r="Q182" s="6"/>
      <c r="R182" s="6"/>
      <c r="S182" s="6"/>
    </row>
    <row r="183" spans="1:35" ht="16.5" customHeight="1" x14ac:dyDescent="0.15">
      <c r="D183" s="6"/>
      <c r="E183" s="6"/>
      <c r="F183" s="6"/>
      <c r="G183" s="6"/>
      <c r="H183" s="6"/>
      <c r="I183" s="6"/>
      <c r="J183" s="6"/>
      <c r="K183" s="6"/>
      <c r="L183" s="6"/>
      <c r="M183" s="6"/>
      <c r="N183" s="6"/>
      <c r="O183" s="6"/>
      <c r="P183" s="6"/>
      <c r="Q183" s="6"/>
      <c r="R183" s="6"/>
      <c r="S183" s="6"/>
    </row>
    <row r="184" spans="1:35" ht="17.25" customHeight="1" x14ac:dyDescent="0.15">
      <c r="D184" s="6"/>
      <c r="E184" s="6"/>
      <c r="F184" s="6"/>
      <c r="G184" s="6"/>
      <c r="H184" s="6"/>
      <c r="I184" s="6"/>
      <c r="J184" s="6"/>
      <c r="K184" s="6"/>
      <c r="L184" s="6"/>
      <c r="M184" s="6"/>
      <c r="N184" s="6"/>
      <c r="O184" s="6"/>
    </row>
    <row r="185" spans="1:35" ht="17.25" customHeight="1" x14ac:dyDescent="0.15">
      <c r="D185" s="6"/>
      <c r="E185" s="6"/>
      <c r="F185" s="6"/>
      <c r="G185" s="6"/>
      <c r="H185" s="6"/>
      <c r="I185" s="6"/>
      <c r="J185" s="6"/>
      <c r="K185" s="6"/>
    </row>
    <row r="186" spans="1:35" ht="17.25" customHeight="1" x14ac:dyDescent="0.15">
      <c r="D186" s="6"/>
      <c r="E186" s="6"/>
      <c r="F186" s="6"/>
      <c r="G186" s="6"/>
    </row>
    <row r="187" spans="1:35" ht="17.25" customHeight="1" x14ac:dyDescent="0.15"/>
    <row r="188" spans="1:35" ht="17.25" customHeight="1" x14ac:dyDescent="0.15">
      <c r="A188" t="s">
        <v>1701</v>
      </c>
    </row>
    <row r="189" spans="1:35" ht="17.25" customHeight="1" x14ac:dyDescent="0.15"/>
    <row r="190" spans="1:35" ht="14.25" customHeight="1" x14ac:dyDescent="0.15">
      <c r="D190" s="6"/>
      <c r="E190" s="6"/>
      <c r="F190" s="6"/>
      <c r="G190" s="6"/>
      <c r="I190" s="6">
        <v>1</v>
      </c>
      <c r="J190" s="6"/>
      <c r="L190" s="6" t="s">
        <v>50</v>
      </c>
      <c r="M190" s="6" t="s">
        <v>50</v>
      </c>
      <c r="O190" s="6" t="s">
        <v>165</v>
      </c>
      <c r="P190" s="6"/>
      <c r="R190" s="6" t="s">
        <v>50</v>
      </c>
      <c r="S190" s="6" t="s">
        <v>50</v>
      </c>
      <c r="U190" s="6" t="s">
        <v>165</v>
      </c>
      <c r="V190" s="6" t="str">
        <f>IF(AK190="","",INDEX(TERRITORY_MR_LIST,MATCH(AK190,TERRITORY_LIST_ID,0)))</f>
        <v/>
      </c>
      <c r="X190" s="6" t="s">
        <v>50</v>
      </c>
      <c r="Y190" s="6" t="s">
        <v>43</v>
      </c>
      <c r="AA190" s="6" t="s">
        <v>165</v>
      </c>
      <c r="AB190" s="6"/>
      <c r="AD190" s="6" t="s">
        <v>50</v>
      </c>
      <c r="AE190" s="6" t="s">
        <v>43</v>
      </c>
      <c r="AG190" t="s">
        <v>165</v>
      </c>
    </row>
    <row r="191" spans="1:35" ht="14.25" customHeight="1" x14ac:dyDescent="0.15">
      <c r="D191" s="6"/>
      <c r="E191" s="6"/>
      <c r="F191" s="6"/>
      <c r="G191" s="6"/>
      <c r="I191" s="6"/>
      <c r="J191" s="6"/>
      <c r="L191" s="6"/>
      <c r="M191" s="6"/>
      <c r="O191" s="6"/>
      <c r="P191" s="6"/>
      <c r="R191" s="6"/>
      <c r="S191" s="6"/>
      <c r="U191" s="6"/>
      <c r="V191" s="6"/>
      <c r="X191" s="6"/>
      <c r="Y191" s="6"/>
      <c r="AA191" s="6"/>
      <c r="AB191" s="6"/>
      <c r="AD191" s="6"/>
      <c r="AE191" s="6"/>
      <c r="AH191" s="6" t="s">
        <v>1702</v>
      </c>
      <c r="AI191" s="6"/>
    </row>
    <row r="192" spans="1:35" ht="14.25" customHeight="1" x14ac:dyDescent="0.15">
      <c r="D192" s="6"/>
      <c r="E192" s="6"/>
      <c r="F192" s="6"/>
      <c r="G192" s="6"/>
      <c r="I192" s="6"/>
      <c r="J192" s="6"/>
      <c r="L192" s="6"/>
      <c r="M192" s="6"/>
      <c r="O192" s="6"/>
      <c r="P192" s="6"/>
      <c r="R192" s="6"/>
      <c r="S192" s="6"/>
      <c r="U192" s="6"/>
      <c r="V192" s="6"/>
      <c r="X192" s="6"/>
      <c r="Y192" s="6"/>
      <c r="AB192" s="6" t="s">
        <v>1703</v>
      </c>
      <c r="AC192" s="6"/>
      <c r="AD192" s="6"/>
      <c r="AE192" s="6"/>
      <c r="AF192" s="6"/>
      <c r="AG192" s="6"/>
      <c r="AH192" s="6"/>
      <c r="AI192" s="6"/>
    </row>
    <row r="193" spans="4:35" ht="14.25" customHeight="1" x14ac:dyDescent="0.15">
      <c r="D193" s="6"/>
      <c r="E193" s="6"/>
      <c r="F193" s="6"/>
      <c r="G193" s="6"/>
      <c r="I193" s="6"/>
      <c r="J193" s="6"/>
      <c r="L193" s="6"/>
      <c r="M193" s="6"/>
      <c r="O193" s="6"/>
      <c r="P193" s="6"/>
      <c r="R193" s="6"/>
      <c r="S193" s="6"/>
      <c r="V193" s="6" t="s">
        <v>353</v>
      </c>
      <c r="W193" s="6"/>
      <c r="X193" s="6"/>
      <c r="Y193" s="6"/>
      <c r="Z193" s="6"/>
      <c r="AA193" s="6"/>
      <c r="AB193" s="6"/>
      <c r="AC193" s="6"/>
      <c r="AD193" s="6"/>
      <c r="AE193" s="6"/>
      <c r="AF193" s="6"/>
      <c r="AG193" s="6"/>
      <c r="AH193" s="6"/>
      <c r="AI193" s="6"/>
    </row>
    <row r="194" spans="4:35" ht="11.25" customHeight="1" x14ac:dyDescent="0.15">
      <c r="D194" s="6"/>
      <c r="E194" s="6"/>
      <c r="F194" s="6"/>
      <c r="G194" s="6"/>
      <c r="I194" s="6"/>
      <c r="J194" s="6"/>
      <c r="L194" s="6"/>
      <c r="M194" s="6"/>
      <c r="P194" s="6" t="s">
        <v>1704</v>
      </c>
      <c r="Q194" s="6"/>
      <c r="R194" s="6"/>
      <c r="S194" s="6"/>
      <c r="T194" s="6"/>
      <c r="U194" s="6"/>
      <c r="V194" s="6"/>
      <c r="W194" s="6"/>
      <c r="X194" s="6"/>
      <c r="Y194" s="6"/>
      <c r="Z194" s="6"/>
      <c r="AA194" s="6"/>
      <c r="AB194" s="6"/>
      <c r="AC194" s="6"/>
      <c r="AD194" s="6"/>
      <c r="AE194" s="6"/>
      <c r="AF194" s="6"/>
      <c r="AG194" s="6"/>
      <c r="AH194" s="6"/>
      <c r="AI194" s="6"/>
    </row>
    <row r="195" spans="4:35" ht="11.25" customHeight="1" x14ac:dyDescent="0.15">
      <c r="D195" s="6"/>
      <c r="E195" s="6"/>
      <c r="F195" s="6"/>
      <c r="G195" s="6"/>
      <c r="J195" s="6" t="s">
        <v>1699</v>
      </c>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row>
    <row r="196" spans="4:35" ht="17.25" customHeight="1" x14ac:dyDescent="0.15"/>
    <row r="197" spans="4:35" ht="14.25" customHeight="1" x14ac:dyDescent="0.15">
      <c r="D197" s="6"/>
      <c r="E197" s="6"/>
      <c r="F197" s="6"/>
      <c r="G197" s="6"/>
      <c r="I197" s="6"/>
      <c r="J197" s="6"/>
      <c r="L197" s="6"/>
      <c r="M197" s="6"/>
      <c r="O197" s="6"/>
      <c r="P197" s="6"/>
      <c r="R197" s="6"/>
      <c r="S197" s="6"/>
      <c r="U197" s="6"/>
      <c r="V197" s="6"/>
      <c r="X197" s="6"/>
      <c r="Y197" s="6"/>
      <c r="AA197" s="6"/>
      <c r="AB197" s="6"/>
      <c r="AD197" s="6"/>
      <c r="AE197" s="6"/>
    </row>
    <row r="198" spans="4:35" ht="14.25" customHeight="1" x14ac:dyDescent="0.15">
      <c r="D198" s="6"/>
      <c r="E198" s="6"/>
      <c r="F198" s="6"/>
      <c r="G198" s="6"/>
      <c r="I198" s="6"/>
      <c r="J198" s="6"/>
      <c r="L198" s="6"/>
      <c r="M198" s="6"/>
      <c r="O198" s="6"/>
      <c r="P198" s="6"/>
      <c r="R198" s="6"/>
      <c r="S198" s="6"/>
      <c r="U198" s="6"/>
      <c r="V198" s="6"/>
      <c r="X198" s="6"/>
      <c r="Y198" s="6"/>
      <c r="AA198" s="6"/>
      <c r="AB198" s="6"/>
      <c r="AD198" s="6"/>
      <c r="AE198" s="6"/>
      <c r="AH198" s="6"/>
      <c r="AI198" s="6"/>
    </row>
    <row r="199" spans="4:35" ht="14.25" customHeight="1" x14ac:dyDescent="0.15">
      <c r="D199" s="6"/>
      <c r="E199" s="6"/>
      <c r="F199" s="6"/>
      <c r="G199" s="6"/>
      <c r="I199" s="6"/>
      <c r="J199" s="6"/>
      <c r="L199" s="6"/>
      <c r="M199" s="6"/>
      <c r="O199" s="6"/>
      <c r="P199" s="6"/>
      <c r="R199" s="6"/>
      <c r="S199" s="6"/>
      <c r="U199" s="6"/>
      <c r="V199" s="6"/>
      <c r="X199" s="6"/>
      <c r="Y199" s="6"/>
      <c r="AB199" s="6"/>
      <c r="AC199" s="6"/>
      <c r="AD199" s="6"/>
      <c r="AE199" s="6"/>
      <c r="AF199" s="6"/>
      <c r="AG199" s="6"/>
      <c r="AH199" s="6"/>
      <c r="AI199" s="6"/>
    </row>
    <row r="200" spans="4:35" ht="14.25" customHeight="1" x14ac:dyDescent="0.15">
      <c r="D200" s="6"/>
      <c r="E200" s="6"/>
      <c r="F200" s="6"/>
      <c r="G200" s="6"/>
      <c r="I200" s="6"/>
      <c r="J200" s="6"/>
      <c r="L200" s="6"/>
      <c r="M200" s="6"/>
      <c r="O200" s="6"/>
      <c r="P200" s="6"/>
      <c r="R200" s="6"/>
      <c r="S200" s="6"/>
      <c r="V200" s="6"/>
      <c r="W200" s="6"/>
      <c r="X200" s="6"/>
      <c r="Y200" s="6"/>
      <c r="Z200" s="6"/>
      <c r="AA200" s="6"/>
      <c r="AB200" s="6"/>
      <c r="AC200" s="6"/>
      <c r="AD200" s="6"/>
      <c r="AE200" s="6"/>
      <c r="AF200" s="6"/>
      <c r="AG200" s="6"/>
      <c r="AH200" s="6"/>
      <c r="AI200" s="6"/>
    </row>
    <row r="201" spans="4:35" ht="11.25" customHeight="1" x14ac:dyDescent="0.15">
      <c r="D201" s="6"/>
      <c r="E201" s="6"/>
      <c r="F201" s="6"/>
      <c r="G201" s="6"/>
      <c r="I201" s="6"/>
      <c r="J201" s="6"/>
      <c r="L201" s="6"/>
      <c r="M201" s="6"/>
      <c r="P201" s="6"/>
      <c r="Q201" s="6"/>
      <c r="R201" s="6"/>
      <c r="S201" s="6"/>
      <c r="T201" s="6"/>
      <c r="U201" s="6"/>
      <c r="V201" s="6"/>
      <c r="W201" s="6"/>
      <c r="X201" s="6"/>
      <c r="Y201" s="6"/>
      <c r="Z201" s="6"/>
      <c r="AA201" s="6"/>
      <c r="AB201" s="6"/>
      <c r="AC201" s="6"/>
      <c r="AD201" s="6"/>
      <c r="AE201" s="6"/>
      <c r="AF201" s="6"/>
      <c r="AG201" s="6"/>
      <c r="AH201" s="6"/>
      <c r="AI201" s="6"/>
    </row>
    <row r="202" spans="4:35" ht="11.25" customHeight="1" x14ac:dyDescent="0.15">
      <c r="D202" s="6"/>
      <c r="E202" s="6"/>
      <c r="F202" s="6"/>
      <c r="G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row>
    <row r="203" spans="4:35" ht="17.25" customHeight="1" x14ac:dyDescent="0.15"/>
  </sheetData>
  <sheetProtection formatColumns="0" formatRows="0" insertRows="0" deleteColumns="0" deleteRows="0" sort="0" autoFilter="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27"/>
  <sheetViews>
    <sheetView showGridLines="0" topLeftCell="C4" zoomScale="90" workbookViewId="0"/>
  </sheetViews>
  <sheetFormatPr defaultColWidth="10.5703125" defaultRowHeight="14.25" customHeight="1" x14ac:dyDescent="0.15"/>
  <cols>
    <col min="1" max="2" width="9.140625" hidden="1" customWidth="1"/>
    <col min="3" max="3" width="3.7109375" customWidth="1"/>
    <col min="4" max="4" width="6.28515625" customWidth="1"/>
    <col min="5" max="6" width="64.140625" customWidth="1"/>
    <col min="7" max="7" width="141.140625" customWidth="1"/>
  </cols>
  <sheetData>
    <row r="1" spans="4:7" ht="14.25" hidden="1" customHeight="1" x14ac:dyDescent="0.15"/>
    <row r="2" spans="4:7" ht="14.25" hidden="1" customHeight="1" x14ac:dyDescent="0.15"/>
    <row r="3" spans="4:7" ht="14.25" hidden="1" customHeight="1" x14ac:dyDescent="0.15"/>
    <row r="4" spans="4:7" ht="3" customHeight="1" x14ac:dyDescent="0.15"/>
    <row r="5" spans="4:7" ht="25.5" customHeight="1" x14ac:dyDescent="0.15">
      <c r="D5" s="6"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6"/>
      <c r="F5" s="6"/>
      <c r="G5" s="6"/>
    </row>
    <row r="6" spans="4:7" ht="18" customHeight="1" x14ac:dyDescent="0.15">
      <c r="D6" s="6" t="str">
        <f>IF(org=0,"Не определено",org)</f>
        <v>КГУП "Примтеплоэнерго"</v>
      </c>
      <c r="E6" s="6"/>
      <c r="F6" s="6"/>
      <c r="G6" s="6"/>
    </row>
    <row r="8" spans="4:7" ht="0.75" customHeight="1" x14ac:dyDescent="0.15"/>
    <row r="9" spans="4:7" ht="14.25" customHeight="1" x14ac:dyDescent="0.15">
      <c r="D9" s="6" t="s">
        <v>593</v>
      </c>
      <c r="E9" s="6"/>
      <c r="F9" s="6"/>
      <c r="G9" s="6" t="s">
        <v>594</v>
      </c>
    </row>
    <row r="10" spans="4:7" ht="14.25" customHeight="1" x14ac:dyDescent="0.15">
      <c r="D10" t="s">
        <v>75</v>
      </c>
      <c r="E10" t="s">
        <v>595</v>
      </c>
      <c r="F10" t="s">
        <v>685</v>
      </c>
      <c r="G10" s="6"/>
    </row>
    <row r="11" spans="4:7" ht="12" hidden="1" customHeight="1" x14ac:dyDescent="0.15"/>
    <row r="12" spans="4:7" ht="62.25" customHeight="1" x14ac:dyDescent="0.15">
      <c r="D12">
        <v>1</v>
      </c>
      <c r="E1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t="s">
        <v>599</v>
      </c>
    </row>
    <row r="13" spans="4:7" ht="22.5" customHeight="1" x14ac:dyDescent="0.15">
      <c r="D13" t="s">
        <v>914</v>
      </c>
      <c r="E1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t="s">
        <v>599</v>
      </c>
    </row>
    <row r="14" spans="4:7" ht="14.25" customHeight="1" x14ac:dyDescent="0.15">
      <c r="D14" t="s">
        <v>1705</v>
      </c>
      <c r="G14" s="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4:7" ht="15" customHeight="1" x14ac:dyDescent="0.15">
      <c r="E15" t="s">
        <v>1706</v>
      </c>
      <c r="G15" s="6"/>
    </row>
    <row r="16" spans="4:7" ht="14.25" customHeight="1" x14ac:dyDescent="0.15">
      <c r="D16" t="s">
        <v>920</v>
      </c>
      <c r="E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t="s">
        <v>599</v>
      </c>
    </row>
    <row r="17" spans="4:7" ht="14.25" customHeight="1" x14ac:dyDescent="0.15">
      <c r="D17" t="s">
        <v>1707</v>
      </c>
      <c r="G17" s="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r="18" spans="4:7" ht="21" customHeight="1" x14ac:dyDescent="0.15">
      <c r="E18" t="s">
        <v>1708</v>
      </c>
      <c r="G18" s="6"/>
    </row>
    <row r="19" spans="4:7" ht="256.5" hidden="1" customHeight="1" x14ac:dyDescent="0.15">
      <c r="D19" t="s">
        <v>1709</v>
      </c>
      <c r="E19" t="s">
        <v>1710</v>
      </c>
      <c r="G19" t="s">
        <v>1711</v>
      </c>
    </row>
    <row r="20" spans="4:7" ht="14.25" customHeight="1" x14ac:dyDescent="0.15">
      <c r="D20">
        <v>2</v>
      </c>
      <c r="E20" t="s">
        <v>1712</v>
      </c>
      <c r="F20" t="s">
        <v>599</v>
      </c>
    </row>
    <row r="21" spans="4:7" ht="18.75" hidden="1" customHeight="1" x14ac:dyDescent="0.15">
      <c r="D21" t="s">
        <v>1713</v>
      </c>
    </row>
    <row r="22" spans="4:7" ht="15" customHeight="1" x14ac:dyDescent="0.15">
      <c r="E22" t="s">
        <v>1714</v>
      </c>
    </row>
    <row r="23" spans="4:7" ht="22.5" hidden="1" customHeight="1" x14ac:dyDescent="0.15">
      <c r="D23" t="s">
        <v>89</v>
      </c>
      <c r="E23" t="s">
        <v>1715</v>
      </c>
      <c r="F23" t="s">
        <v>599</v>
      </c>
    </row>
    <row r="24" spans="4:7" ht="14.25" hidden="1" customHeight="1" x14ac:dyDescent="0.15">
      <c r="D24" t="s">
        <v>799</v>
      </c>
      <c r="E24" t="s">
        <v>1716</v>
      </c>
      <c r="F24" t="s">
        <v>599</v>
      </c>
    </row>
    <row r="25" spans="4:7" ht="14.25" hidden="1" customHeight="1" x14ac:dyDescent="0.15">
      <c r="D25" t="s">
        <v>1717</v>
      </c>
      <c r="G25" s="6" t="s">
        <v>1718</v>
      </c>
    </row>
    <row r="26" spans="4:7" ht="22.5" hidden="1" customHeight="1" x14ac:dyDescent="0.15">
      <c r="E26" t="s">
        <v>1719</v>
      </c>
      <c r="G26" s="6"/>
    </row>
    <row r="27" spans="4:7" ht="3" customHeight="1" x14ac:dyDescent="0.15"/>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x14ac:dyDescent="0.15"/>
    <row r="2" spans="5:42"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t="s">
        <v>1720</v>
      </c>
      <c r="AP2" t="str">
        <f t="shared" ref="AP2:AP15" si="0">IF(T2="","",T2)</f>
        <v>Наименование тарифа</v>
      </c>
    </row>
    <row r="3" spans="5:42"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t="s">
        <v>1722</v>
      </c>
      <c r="AP3" t="str">
        <f t="shared" si="0"/>
        <v>Территория действия тарифа</v>
      </c>
    </row>
    <row r="4" spans="5:42" ht="23.25" hidden="1" customHeight="1" x14ac:dyDescent="0.15">
      <c r="E4" s="6"/>
      <c r="F4" s="6"/>
      <c r="G4" s="6">
        <v>1</v>
      </c>
      <c r="S4" t="e">
        <f>INDEX(PT_DIFFERENTIATION_NUM_CS,MATCH(C4,PT_DIFFERENTIATION_CS_ID,0))</f>
        <v>#N/A</v>
      </c>
      <c r="T4" t="s">
        <v>1723</v>
      </c>
      <c r="V4" s="6"/>
      <c r="W4" s="6"/>
      <c r="X4" s="6"/>
      <c r="Y4" s="6"/>
      <c r="Z4" s="6"/>
      <c r="AA4" s="6"/>
      <c r="AB4" s="6"/>
      <c r="AC4" s="6"/>
      <c r="AD4" s="6" t="e">
        <f>INDEX(PT_DIFFERENTIATION_CS,MATCH(C4,PT_DIFFERENTIATION_CS_ID,0))</f>
        <v>#N/A</v>
      </c>
      <c r="AE4" s="6"/>
      <c r="AF4" s="6"/>
      <c r="AG4" s="6"/>
      <c r="AH4" s="6"/>
      <c r="AI4" s="6"/>
      <c r="AJ4" s="6"/>
      <c r="AK4" s="6"/>
      <c r="AL4" s="6"/>
      <c r="AM4" t="s">
        <v>1724</v>
      </c>
      <c r="AP4" t="str">
        <f t="shared" si="0"/>
        <v xml:space="preserve">Наименование системы теплоснабжения </v>
      </c>
    </row>
    <row r="5" spans="5:42" ht="21" hidden="1" customHeight="1" x14ac:dyDescent="0.15">
      <c r="E5" s="6"/>
      <c r="F5" s="6"/>
      <c r="G5" s="6"/>
      <c r="H5" s="6">
        <v>1</v>
      </c>
      <c r="S5" t="e">
        <f>INDEX(PT_DIFFERENTIATION_NUM_IST_TE,MATCH(D5,PT_DIFFERENTIATION_IST_TE_ID,0))</f>
        <v>#N/A</v>
      </c>
      <c r="T5" t="s">
        <v>1725</v>
      </c>
      <c r="V5" s="6"/>
      <c r="W5" s="6"/>
      <c r="X5" s="6"/>
      <c r="Y5" s="6"/>
      <c r="Z5" s="6"/>
      <c r="AA5" s="6"/>
      <c r="AB5" s="6"/>
      <c r="AC5" s="6"/>
      <c r="AD5" s="6" t="e">
        <f>INDEX(PT_DIFFERENTIATION_IST_TE,MATCH(D5,PT_DIFFERENTIATION_IST_TE_ID,0))</f>
        <v>#N/A</v>
      </c>
      <c r="AE5" s="6"/>
      <c r="AF5" s="6"/>
      <c r="AG5" s="6"/>
      <c r="AH5" s="6"/>
      <c r="AI5" s="6"/>
      <c r="AJ5" s="6"/>
      <c r="AK5" s="6"/>
      <c r="AL5" s="6"/>
      <c r="AM5" t="s">
        <v>1726</v>
      </c>
      <c r="AP5" t="str">
        <f t="shared" si="0"/>
        <v xml:space="preserve">Источник тепловой энергии  </v>
      </c>
    </row>
    <row r="6" spans="5:42" ht="47.25" hidden="1" customHeight="1" x14ac:dyDescent="0.15">
      <c r="E6" s="6"/>
      <c r="F6" s="6"/>
      <c r="G6" s="6"/>
      <c r="H6" s="6"/>
      <c r="I6" s="6" t="e">
        <f>S5&amp;".1"</f>
        <v>#N/A</v>
      </c>
      <c r="L6" t="s">
        <v>1727</v>
      </c>
      <c r="P6" s="6">
        <v>1</v>
      </c>
      <c r="S6" t="e">
        <f>$I6</f>
        <v>#N/A</v>
      </c>
      <c r="T6" t="s">
        <v>1728</v>
      </c>
      <c r="V6" s="6"/>
      <c r="W6" s="6"/>
      <c r="X6" s="6"/>
      <c r="Y6" s="6"/>
      <c r="Z6" s="6"/>
      <c r="AA6" s="6"/>
      <c r="AB6" s="6"/>
      <c r="AC6" s="6"/>
      <c r="AD6" s="6"/>
      <c r="AE6" s="6"/>
      <c r="AF6" s="6"/>
      <c r="AG6" s="6"/>
      <c r="AH6" s="6"/>
      <c r="AI6" s="6"/>
      <c r="AJ6" s="6"/>
      <c r="AK6" s="6"/>
      <c r="AL6" s="6"/>
      <c r="AM6" t="s">
        <v>1729</v>
      </c>
      <c r="AP6" t="str">
        <f t="shared" si="0"/>
        <v>Схема подключения теплопотребляющей установки к коллектору источника тепловой энергии</v>
      </c>
    </row>
    <row r="7" spans="5:42" ht="21" hidden="1" customHeight="1" x14ac:dyDescent="0.15">
      <c r="E7" s="6"/>
      <c r="F7" s="6"/>
      <c r="G7" s="6"/>
      <c r="H7" s="6"/>
      <c r="I7" s="6"/>
      <c r="J7" s="6" t="e">
        <f>I6&amp;".1"</f>
        <v>#N/A</v>
      </c>
      <c r="L7" t="s">
        <v>1730</v>
      </c>
      <c r="P7" s="6"/>
      <c r="Q7" s="6">
        <v>1</v>
      </c>
      <c r="S7" t="e">
        <f>$J7</f>
        <v>#N/A</v>
      </c>
      <c r="T7" t="s">
        <v>1731</v>
      </c>
      <c r="V7" s="6"/>
      <c r="W7" s="6"/>
      <c r="X7" s="6"/>
      <c r="Y7" s="6"/>
      <c r="Z7" s="6"/>
      <c r="AA7" s="6"/>
      <c r="AB7" s="6"/>
      <c r="AC7" s="6"/>
      <c r="AD7" s="6"/>
      <c r="AE7" s="6"/>
      <c r="AF7" s="6"/>
      <c r="AG7" s="6"/>
      <c r="AH7" s="6"/>
      <c r="AI7" s="6"/>
      <c r="AJ7" s="6"/>
      <c r="AK7" s="6"/>
      <c r="AL7" s="6"/>
      <c r="AM7" t="s">
        <v>1732</v>
      </c>
      <c r="AP7" t="str">
        <f t="shared" si="0"/>
        <v>Группа потребителей</v>
      </c>
    </row>
    <row r="8" spans="5:42" ht="21" hidden="1" customHeight="1" x14ac:dyDescent="0.15">
      <c r="E8" s="6"/>
      <c r="F8" s="6"/>
      <c r="G8" s="6"/>
      <c r="H8" s="6"/>
      <c r="I8" s="6"/>
      <c r="J8" s="6"/>
      <c r="K8" s="6" t="e">
        <f>J7&amp;".1"</f>
        <v>#N/A</v>
      </c>
      <c r="L8" t="s">
        <v>1733</v>
      </c>
      <c r="P8" s="6"/>
      <c r="Q8" s="6"/>
      <c r="R8">
        <v>1</v>
      </c>
      <c r="S8" t="e">
        <f>$K8</f>
        <v>#N/A</v>
      </c>
      <c r="Z8" s="6"/>
      <c r="AA8" s="6" t="s">
        <v>50</v>
      </c>
      <c r="AB8" s="6"/>
      <c r="AC8" s="6" t="s">
        <v>50</v>
      </c>
      <c r="AH8" s="6"/>
      <c r="AI8" s="6" t="s">
        <v>50</v>
      </c>
      <c r="AJ8" s="6"/>
      <c r="AK8" s="6" t="s">
        <v>50</v>
      </c>
      <c r="AM8" s="6" t="s">
        <v>1734</v>
      </c>
      <c r="AN8" t="e">
        <f ca="1">STRCHECKDATE(V9:AL9)</f>
        <v>#NAME?</v>
      </c>
      <c r="AP8" t="str">
        <f t="shared" si="0"/>
        <v/>
      </c>
    </row>
    <row r="9" spans="5:42" ht="0.75" hidden="1" customHeight="1" x14ac:dyDescent="0.15">
      <c r="E9" s="6"/>
      <c r="F9" s="6"/>
      <c r="G9" s="6"/>
      <c r="H9" s="6"/>
      <c r="I9" s="6"/>
      <c r="J9" s="6"/>
      <c r="K9" s="6"/>
      <c r="P9" s="6"/>
      <c r="Q9" s="6"/>
      <c r="Y9" t="str">
        <f>Z8&amp;"-"&amp;AB8</f>
        <v>-</v>
      </c>
      <c r="Z9" s="6"/>
      <c r="AA9" s="6"/>
      <c r="AB9" s="6"/>
      <c r="AC9" s="6"/>
      <c r="AG9" t="str">
        <f>AH8&amp;"-"&amp;AJ8</f>
        <v>-</v>
      </c>
      <c r="AH9" s="6"/>
      <c r="AI9" s="6"/>
      <c r="AJ9" s="6"/>
      <c r="AK9" s="6"/>
      <c r="AM9" s="6"/>
      <c r="AP9" t="str">
        <f t="shared" si="0"/>
        <v/>
      </c>
    </row>
    <row r="10" spans="5:42" ht="15" hidden="1" customHeight="1" x14ac:dyDescent="0.15">
      <c r="E10" s="6"/>
      <c r="F10" s="6"/>
      <c r="G10" s="6"/>
      <c r="H10" s="6"/>
      <c r="I10" s="6"/>
      <c r="J10" s="6"/>
      <c r="P10" s="6"/>
      <c r="Q10" s="6"/>
      <c r="T10" t="s">
        <v>1735</v>
      </c>
      <c r="AM10" s="6"/>
      <c r="AP10" t="str">
        <f t="shared" si="0"/>
        <v>Добавить вид теплоносителя (параметры теплоносителя)</v>
      </c>
    </row>
    <row r="11" spans="5:42" ht="15" hidden="1" customHeight="1" x14ac:dyDescent="0.15">
      <c r="E11" s="6"/>
      <c r="F11" s="6"/>
      <c r="G11" s="6"/>
      <c r="H11" s="6"/>
      <c r="I11" s="6"/>
      <c r="P11" s="6"/>
      <c r="T11" t="s">
        <v>1736</v>
      </c>
      <c r="AP11" t="str">
        <f t="shared" si="0"/>
        <v>Добавить группу потребителей</v>
      </c>
    </row>
    <row r="12" spans="5:42" ht="14.25" hidden="1" customHeight="1" x14ac:dyDescent="0.15">
      <c r="E12" s="6"/>
      <c r="F12" s="6"/>
      <c r="G12" s="6"/>
      <c r="H12" s="6"/>
      <c r="T12" t="s">
        <v>1737</v>
      </c>
      <c r="AP12" t="str">
        <f t="shared" si="0"/>
        <v>Добавить схему подключения</v>
      </c>
    </row>
    <row r="13" spans="5:42" ht="0.75" hidden="1" customHeight="1" x14ac:dyDescent="0.15">
      <c r="E13" s="6"/>
      <c r="F13" s="6"/>
      <c r="G13" s="6"/>
      <c r="T13" t="s">
        <v>1696</v>
      </c>
      <c r="AP13" t="str">
        <f t="shared" si="0"/>
        <v>Добавить источник для дифференциации</v>
      </c>
    </row>
    <row r="14" spans="5:42" ht="0.75" hidden="1" customHeight="1" x14ac:dyDescent="0.15">
      <c r="E14" s="6"/>
      <c r="F14" s="6"/>
      <c r="T14" t="s">
        <v>1697</v>
      </c>
      <c r="AP14" t="str">
        <f t="shared" si="0"/>
        <v>Добавить централизованную систему для дифференциации</v>
      </c>
    </row>
    <row r="15" spans="5:42" ht="0.75" hidden="1" customHeight="1" x14ac:dyDescent="0.15">
      <c r="E15" s="6"/>
      <c r="T15" t="s">
        <v>1698</v>
      </c>
      <c r="AP15" t="str">
        <f t="shared" si="0"/>
        <v>Добавить территорию для дифференциации</v>
      </c>
    </row>
    <row r="16" spans="5:42" ht="14.25" hidden="1" customHeight="1" x14ac:dyDescent="0.15"/>
    <row r="17" spans="15:37" ht="14.25" hidden="1" customHeight="1" x14ac:dyDescent="0.15">
      <c r="AH17" s="6"/>
      <c r="AI17" s="6" t="s">
        <v>50</v>
      </c>
      <c r="AJ17" s="6"/>
      <c r="AK17" s="6" t="s">
        <v>50</v>
      </c>
    </row>
    <row r="18" spans="15:37" ht="14.25" hidden="1" customHeight="1" x14ac:dyDescent="0.15">
      <c r="AG18" t="str">
        <f>AH17&amp;"-"&amp;AJ17</f>
        <v>-</v>
      </c>
      <c r="AH18" s="6"/>
      <c r="AI18" s="6"/>
      <c r="AJ18" s="6"/>
      <c r="AK18" s="6"/>
    </row>
    <row r="19" spans="15:37" ht="14.25" hidden="1" customHeight="1" x14ac:dyDescent="0.15"/>
    <row r="20" spans="15:37" ht="22.5" hidden="1" customHeight="1" x14ac:dyDescent="0.15">
      <c r="O20" t="s">
        <v>1738</v>
      </c>
    </row>
    <row r="21" spans="15:37" ht="14.25" hidden="1" customHeight="1" x14ac:dyDescent="0.15"/>
    <row r="22" spans="15:37" ht="14.25" hidden="1" customHeight="1" x14ac:dyDescent="0.15">
      <c r="O22" t="s">
        <v>1739</v>
      </c>
      <c r="T22" t="s">
        <v>1740</v>
      </c>
      <c r="AA22" t="s">
        <v>1741</v>
      </c>
      <c r="AC22" t="s">
        <v>1742</v>
      </c>
      <c r="AD22" t="s">
        <v>1740</v>
      </c>
      <c r="AI22" t="s">
        <v>1743</v>
      </c>
      <c r="AK22" t="s">
        <v>1742</v>
      </c>
    </row>
    <row r="23" spans="15:37" ht="14.25" hidden="1" customHeight="1" x14ac:dyDescent="0.15"/>
    <row r="24" spans="15:37" ht="14.25" hidden="1" customHeight="1" x14ac:dyDescent="0.15"/>
    <row r="26" spans="15:37" ht="64.5" customHeight="1" x14ac:dyDescent="0.15">
      <c r="S26" s="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6"/>
      <c r="U26" s="6"/>
      <c r="V26" s="6"/>
      <c r="W26" s="6"/>
      <c r="X26" s="6"/>
      <c r="Y26" s="6"/>
      <c r="Z26" s="6"/>
      <c r="AA26" s="6"/>
      <c r="AB26" s="6"/>
      <c r="AC26" s="6"/>
      <c r="AD26" s="6"/>
      <c r="AE26" s="6"/>
      <c r="AF26" s="6"/>
      <c r="AG26" s="6"/>
      <c r="AH26" s="6"/>
      <c r="AI26" s="6"/>
      <c r="AJ26" s="6"/>
    </row>
    <row r="27" spans="15:37" ht="14.25" customHeight="1" x14ac:dyDescent="0.15">
      <c r="S27" s="6" t="str">
        <f>IF(org=0,"Не определено",org)</f>
        <v>КГУП "Примтеплоэнерго"</v>
      </c>
      <c r="T27" s="6"/>
      <c r="U27" s="6"/>
      <c r="V27" s="6"/>
      <c r="W27" s="6"/>
      <c r="X27" s="6"/>
      <c r="Y27" s="6"/>
      <c r="Z27" s="6"/>
      <c r="AA27" s="6"/>
      <c r="AB27" s="6"/>
      <c r="AC27" s="6"/>
      <c r="AD27" s="6"/>
      <c r="AE27" s="6"/>
      <c r="AF27" s="6"/>
      <c r="AG27" s="6"/>
      <c r="AH27" s="6"/>
      <c r="AI27" s="6"/>
      <c r="AJ27" s="6"/>
    </row>
    <row r="28" spans="15:37" ht="14.25" hidden="1" customHeight="1" x14ac:dyDescent="0.15"/>
    <row r="29" spans="15:37" ht="25.5" hidden="1" customHeight="1" x14ac:dyDescent="0.15">
      <c r="S29" s="6" t="s">
        <v>25</v>
      </c>
      <c r="T29" s="6"/>
      <c r="V29" s="6" t="str">
        <f>IF(TITLE_NAME_OR_PR_CHANGE="",IF(TITLE_NAME_OR_PR="","",TITLE_NAME_OR_PR),TITLE_NAME_OR_PR_CHANGE)</f>
        <v/>
      </c>
      <c r="W29" s="6"/>
      <c r="X29" s="6"/>
      <c r="Y29" s="6"/>
      <c r="Z29" s="6"/>
      <c r="AA29" s="6"/>
      <c r="AB29" s="6"/>
      <c r="AD29" s="6" t="str">
        <f>IF(TITLE_NAME_OR_PR_CHANGE="",IF(TITLE_NAME_OR_PR="","",TITLE_NAME_OR_PR),TITLE_NAME_OR_PR_CHANGE)</f>
        <v/>
      </c>
      <c r="AE29" s="6"/>
      <c r="AF29" s="6"/>
      <c r="AG29" s="6"/>
      <c r="AH29" s="6"/>
      <c r="AI29" s="6"/>
      <c r="AJ29" s="6"/>
    </row>
    <row r="30" spans="15:37" ht="18.75" hidden="1" customHeight="1" x14ac:dyDescent="0.15">
      <c r="S30" s="6" t="s">
        <v>1744</v>
      </c>
      <c r="T30" s="6"/>
      <c r="V30" s="6" t="str">
        <f>IF(TITLE_DATE_CHANGE_PERIOD="",IF(TITLE_DATE_PR="","",TITLE_DATE_PR),TITLE_DATE_CHANGE_PERIOD)</f>
        <v/>
      </c>
      <c r="W30" s="6"/>
      <c r="X30" s="6"/>
      <c r="Y30" s="6"/>
      <c r="Z30" s="6"/>
      <c r="AA30" s="6"/>
      <c r="AB30" s="6"/>
      <c r="AD30" s="6" t="str">
        <f>IF(TITLE_DATE_CHANGE_PERIOD="",IF(TITLE_DATE_PR="","",TITLE_DATE_PR),TITLE_DATE_CHANGE_PERIOD)</f>
        <v/>
      </c>
      <c r="AE30" s="6"/>
      <c r="AF30" s="6"/>
      <c r="AG30" s="6"/>
      <c r="AH30" s="6"/>
      <c r="AI30" s="6"/>
      <c r="AJ30" s="6"/>
    </row>
    <row r="31" spans="15:37" ht="18.75" hidden="1" customHeight="1" x14ac:dyDescent="0.15">
      <c r="S31" s="6" t="s">
        <v>1745</v>
      </c>
      <c r="T31" s="6"/>
      <c r="V31" s="6" t="str">
        <f>IF(TITLE_NUMBER_PR_CHANGE="",IF(TITLE_NUMBER_PR="","",TITLE_NUMBER_PR),TITLE_NUMBER_PR_CHANGE)</f>
        <v/>
      </c>
      <c r="W31" s="6"/>
      <c r="X31" s="6"/>
      <c r="Y31" s="6"/>
      <c r="Z31" s="6"/>
      <c r="AA31" s="6"/>
      <c r="AB31" s="6"/>
      <c r="AD31" s="6" t="str">
        <f>IF(TITLE_NUMBER_PR_CHANGE="",IF(TITLE_NUMBER_PR="","",TITLE_NUMBER_PR),TITLE_NUMBER_PR_CHANGE)</f>
        <v/>
      </c>
      <c r="AE31" s="6"/>
      <c r="AF31" s="6"/>
      <c r="AG31" s="6"/>
      <c r="AH31" s="6"/>
      <c r="AI31" s="6"/>
      <c r="AJ31" s="6"/>
    </row>
    <row r="32" spans="15:37" ht="18.75" hidden="1" customHeight="1" x14ac:dyDescent="0.15">
      <c r="S32" s="6" t="s">
        <v>26</v>
      </c>
      <c r="T32" s="6"/>
      <c r="V32" s="6" t="str">
        <f>IF(TITLE_IST_PUB_CHANGE="",IF(TITLE_IST_PUB="","",TITLE_IST_PUB),TITLE_IST_PUB_CHANGE)</f>
        <v/>
      </c>
      <c r="W32" s="6"/>
      <c r="X32" s="6"/>
      <c r="Y32" s="6"/>
      <c r="Z32" s="6"/>
      <c r="AA32" s="6"/>
      <c r="AB32" s="6"/>
      <c r="AD32" s="6" t="str">
        <f>IF(TITLE_IST_PUB_CHANGE="",IF(TITLE_IST_PUB="","",TITLE_IST_PUB),TITLE_IST_PUB_CHANGE)</f>
        <v/>
      </c>
      <c r="AE32" s="6"/>
      <c r="AF32" s="6"/>
      <c r="AG32" s="6"/>
      <c r="AH32" s="6"/>
      <c r="AI32" s="6"/>
      <c r="AJ32" s="6"/>
    </row>
    <row r="33" spans="1:42" ht="14.25" hidden="1" customHeight="1" x14ac:dyDescent="0.15"/>
    <row r="34" spans="1:42" ht="18.75" hidden="1" customHeight="1" x14ac:dyDescent="0.15">
      <c r="S34" s="6" t="s">
        <v>1746</v>
      </c>
      <c r="T34" s="6"/>
      <c r="V34" s="6" t="str">
        <f>IF(TITLE_DATE_CHANGE_PERIOD="",IF(TITLE_DATE_PR="","",TITLE_DATE_PR),TITLE_DATE_CHANGE_PERIOD)</f>
        <v/>
      </c>
      <c r="W34" s="6"/>
      <c r="X34" s="6"/>
      <c r="Y34" s="6"/>
      <c r="Z34" s="6"/>
      <c r="AA34" s="6"/>
      <c r="AB34" s="6"/>
      <c r="AD34" s="6" t="str">
        <f>IF(TITLE_DATE_CHANGE_PERIOD="",IF(TITLE_DATE_PR="","",TITLE_DATE_PR),TITLE_DATE_CHANGE_PERIOD)</f>
        <v/>
      </c>
      <c r="AE34" s="6"/>
      <c r="AF34" s="6"/>
      <c r="AG34" s="6"/>
      <c r="AH34" s="6"/>
      <c r="AI34" s="6"/>
      <c r="AJ34" s="6"/>
    </row>
    <row r="35" spans="1:42" ht="18.75" hidden="1" customHeight="1" x14ac:dyDescent="0.15">
      <c r="S35" s="6" t="s">
        <v>1747</v>
      </c>
      <c r="T35" s="6"/>
      <c r="V35" s="6" t="str">
        <f>IF(TITLE_NUMBER_PR_CHANGE="",IF(TITLE_NUMBER_PR="","",TITLE_NUMBER_PR),TITLE_NUMBER_PR_CHANGE)</f>
        <v/>
      </c>
      <c r="W35" s="6"/>
      <c r="X35" s="6"/>
      <c r="Y35" s="6"/>
      <c r="Z35" s="6"/>
      <c r="AA35" s="6"/>
      <c r="AB35" s="6"/>
      <c r="AD35" s="6" t="str">
        <f>IF(TITLE_NUMBER_PR_CHANGE="",IF(TITLE_NUMBER_PR="","",TITLE_NUMBER_PR),TITLE_NUMBER_PR_CHANGE)</f>
        <v/>
      </c>
      <c r="AE35" s="6"/>
      <c r="AF35" s="6"/>
      <c r="AG35" s="6"/>
      <c r="AH35" s="6"/>
      <c r="AI35" s="6"/>
      <c r="AJ35" s="6"/>
    </row>
    <row r="36" spans="1:42" ht="0" hidden="1" customHeight="1" x14ac:dyDescent="0.15">
      <c r="AC36" t="s">
        <v>1748</v>
      </c>
      <c r="AK36" t="s">
        <v>1748</v>
      </c>
    </row>
    <row r="37" spans="1:42" ht="14.25" customHeight="1" x14ac:dyDescent="0.15">
      <c r="V37" s="6"/>
      <c r="W37" s="6"/>
      <c r="X37" s="6"/>
      <c r="Y37" s="6"/>
      <c r="Z37" s="6"/>
      <c r="AA37" s="6"/>
      <c r="AB37" s="6"/>
      <c r="AC37" s="6"/>
      <c r="AD37" s="6"/>
      <c r="AE37" s="6"/>
      <c r="AF37" s="6"/>
      <c r="AG37" s="6"/>
      <c r="AH37" s="6"/>
      <c r="AI37" s="6"/>
      <c r="AJ37" s="6"/>
      <c r="AK37" s="6"/>
    </row>
    <row r="38" spans="1:42" ht="14.25" customHeight="1" x14ac:dyDescent="0.15">
      <c r="S38" s="6" t="s">
        <v>593</v>
      </c>
      <c r="T38" s="6"/>
      <c r="U38" s="6"/>
      <c r="V38" s="6"/>
      <c r="W38" s="6"/>
      <c r="X38" s="6"/>
      <c r="Y38" s="6"/>
      <c r="Z38" s="6"/>
      <c r="AA38" s="6"/>
      <c r="AB38" s="6"/>
      <c r="AC38" s="6"/>
      <c r="AD38" s="6"/>
      <c r="AE38" s="6"/>
      <c r="AF38" s="6"/>
      <c r="AG38" s="6"/>
      <c r="AH38" s="6"/>
      <c r="AI38" s="6"/>
      <c r="AJ38" s="6"/>
      <c r="AK38" s="6"/>
      <c r="AL38" s="6"/>
      <c r="AM38" s="6" t="s">
        <v>594</v>
      </c>
    </row>
    <row r="39" spans="1:42" ht="14.25" customHeight="1" x14ac:dyDescent="0.15">
      <c r="S39" s="6" t="s">
        <v>75</v>
      </c>
      <c r="T39" s="6" t="s">
        <v>1749</v>
      </c>
      <c r="V39" s="6" t="s">
        <v>1750</v>
      </c>
      <c r="W39" s="6"/>
      <c r="X39" s="6"/>
      <c r="Y39" s="6"/>
      <c r="Z39" s="6"/>
      <c r="AA39" s="6"/>
      <c r="AB39" s="6"/>
      <c r="AC39" s="6" t="s">
        <v>1751</v>
      </c>
      <c r="AD39" s="6" t="s">
        <v>1750</v>
      </c>
      <c r="AE39" s="6"/>
      <c r="AF39" s="6"/>
      <c r="AG39" s="6"/>
      <c r="AH39" s="6"/>
      <c r="AI39" s="6"/>
      <c r="AJ39" s="6"/>
      <c r="AK39" s="6" t="s">
        <v>1752</v>
      </c>
      <c r="AL39" s="6" t="s">
        <v>1753</v>
      </c>
      <c r="AM39" s="6"/>
    </row>
    <row r="40" spans="1:42" ht="33.75" customHeight="1" x14ac:dyDescent="0.15">
      <c r="S40" s="6"/>
      <c r="T40" s="6"/>
      <c r="V40" s="6" t="s">
        <v>1754</v>
      </c>
      <c r="W40" s="6" t="s">
        <v>1755</v>
      </c>
      <c r="X40" s="6" t="s">
        <v>1756</v>
      </c>
      <c r="Y40" s="6"/>
      <c r="Z40" s="6" t="s">
        <v>1757</v>
      </c>
      <c r="AA40" s="6"/>
      <c r="AB40" s="6"/>
      <c r="AC40" s="6"/>
      <c r="AD40" s="6" t="s">
        <v>1754</v>
      </c>
      <c r="AE40" s="6" t="s">
        <v>1755</v>
      </c>
      <c r="AF40" s="6" t="s">
        <v>1756</v>
      </c>
      <c r="AG40" s="6"/>
      <c r="AH40" s="6" t="s">
        <v>1757</v>
      </c>
      <c r="AI40" s="6"/>
      <c r="AJ40" s="6"/>
      <c r="AK40" s="6"/>
      <c r="AL40" s="6"/>
      <c r="AM40" s="6"/>
    </row>
    <row r="41" spans="1:42" ht="33.75" customHeight="1" x14ac:dyDescent="0.15">
      <c r="B41" t="s">
        <v>443</v>
      </c>
      <c r="C41" t="s">
        <v>444</v>
      </c>
      <c r="D41" t="s">
        <v>445</v>
      </c>
      <c r="E41" t="s">
        <v>1758</v>
      </c>
      <c r="F41" t="s">
        <v>1759</v>
      </c>
      <c r="G41" t="s">
        <v>1760</v>
      </c>
      <c r="H41" t="s">
        <v>1761</v>
      </c>
      <c r="I41" t="s">
        <v>1762</v>
      </c>
      <c r="J41" t="s">
        <v>1763</v>
      </c>
      <c r="K41" t="s">
        <v>1764</v>
      </c>
      <c r="L41" t="s">
        <v>1739</v>
      </c>
      <c r="S41" s="6"/>
      <c r="T41" s="6"/>
      <c r="V41" s="6"/>
      <c r="W41" s="6"/>
      <c r="X41" t="s">
        <v>1765</v>
      </c>
      <c r="Y41" t="s">
        <v>1766</v>
      </c>
      <c r="Z41" t="s">
        <v>1767</v>
      </c>
      <c r="AA41" s="6" t="s">
        <v>1768</v>
      </c>
      <c r="AB41" s="6"/>
      <c r="AC41" s="6"/>
      <c r="AD41" s="6"/>
      <c r="AE41" s="6"/>
      <c r="AF41" t="s">
        <v>1765</v>
      </c>
      <c r="AG41" t="s">
        <v>1766</v>
      </c>
      <c r="AH41" t="s">
        <v>1767</v>
      </c>
      <c r="AI41" s="6" t="s">
        <v>1768</v>
      </c>
      <c r="AJ41" s="6"/>
      <c r="AK41" s="6"/>
      <c r="AL41" s="6"/>
      <c r="AM41" s="6"/>
    </row>
    <row r="42" spans="1:42" ht="11.25" hidden="1" customHeight="1" x14ac:dyDescent="0.15">
      <c r="R42">
        <v>1</v>
      </c>
      <c r="S42" t="s">
        <v>165</v>
      </c>
      <c r="T42" t="s">
        <v>89</v>
      </c>
      <c r="U42" t="str">
        <f ca="1">OFFSET(U42,0,-1)</f>
        <v>2</v>
      </c>
      <c r="V42">
        <f ca="1">OFFSET(V42,0,-1)+1</f>
        <v>3</v>
      </c>
      <c r="X42">
        <f ca="1">OFFSET(X42,0,-1)+1</f>
        <v>1</v>
      </c>
      <c r="Y42">
        <f ca="1">OFFSET(Y42,0,-1)+1</f>
        <v>2</v>
      </c>
      <c r="Z42">
        <f ca="1">OFFSET(Z42,0,-1)+1</f>
        <v>3</v>
      </c>
      <c r="AA42" s="6">
        <f ca="1">OFFSET(AA42,0,-1)+1</f>
        <v>4</v>
      </c>
      <c r="AB42" s="6"/>
      <c r="AC42">
        <f ca="1">OFFSET(AC42,0,-2)+1</f>
        <v>5</v>
      </c>
      <c r="AD42">
        <f ca="1">OFFSET(AD42,0,-1)+1</f>
        <v>6</v>
      </c>
      <c r="AF42">
        <f ca="1">OFFSET(AF42,0,-1)+1</f>
        <v>1</v>
      </c>
      <c r="AG42">
        <f ca="1">OFFSET(AG42,0,-1)+1</f>
        <v>2</v>
      </c>
      <c r="AH42">
        <f ca="1">OFFSET(AH42,0,-1)+1</f>
        <v>3</v>
      </c>
      <c r="AI42" s="6">
        <f ca="1">OFFSET(AI42,0,-1)+1</f>
        <v>4</v>
      </c>
      <c r="AJ42" s="6"/>
      <c r="AK42">
        <f ca="1">OFFSET(AK42,0,-2)+1</f>
        <v>5</v>
      </c>
      <c r="AL42">
        <f ca="1">OFFSET(AL42,0,-1)</f>
        <v>5</v>
      </c>
      <c r="AM42">
        <f ca="1">OFFSET(AM42,0,-1)+1</f>
        <v>6</v>
      </c>
    </row>
    <row r="43" spans="1:42" ht="23.25" customHeight="1" x14ac:dyDescent="0.15">
      <c r="A43" t="s">
        <v>458</v>
      </c>
      <c r="E43" s="6">
        <v>1</v>
      </c>
      <c r="S43">
        <f>INDEX(PT_DIFFERENTIATION_NUM_NTAR,MATCH(A43,PT_DIFFERENTIATION_NTAR_ID,0))</f>
        <v>0</v>
      </c>
      <c r="T43" t="s">
        <v>431</v>
      </c>
      <c r="V43" s="6"/>
      <c r="W43" s="6"/>
      <c r="X43" s="6"/>
      <c r="Y43" s="6"/>
      <c r="Z43" s="6"/>
      <c r="AA43" s="6"/>
      <c r="AB43" s="6"/>
      <c r="AC43" s="6"/>
      <c r="AD43" s="6" t="str">
        <f>INDEX(PT_DIFFERENTIATION_NTAR,MATCH(A43,PT_DIFFERENTIATION_NTAR_ID,0))</f>
        <v/>
      </c>
      <c r="AE43" s="6"/>
      <c r="AF43" s="6"/>
      <c r="AG43" s="6"/>
      <c r="AH43" s="6"/>
      <c r="AI43" s="6"/>
      <c r="AJ43" s="6"/>
      <c r="AK43" s="6"/>
      <c r="AL43" s="6"/>
      <c r="AM4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P43" t="str">
        <f t="shared" ref="AP43:AP57" si="1">IF(T43="","",T43)</f>
        <v>Наименование тарифа</v>
      </c>
    </row>
    <row r="44" spans="1:42" ht="23.25" customHeight="1" x14ac:dyDescent="0.15">
      <c r="A44" t="s">
        <v>458</v>
      </c>
      <c r="B44" t="s">
        <v>459</v>
      </c>
      <c r="E44" s="6"/>
      <c r="F44" s="6">
        <v>1</v>
      </c>
      <c r="S44" t="str">
        <f>INDEX(PT_DIFFERENTIATION_NUM_TER,MATCH(B44,PT_DIFFERENTIATION_TER_ID,0))</f>
        <v>.</v>
      </c>
      <c r="T44" t="s">
        <v>1721</v>
      </c>
      <c r="V44" s="6"/>
      <c r="W44" s="6"/>
      <c r="X44" s="6"/>
      <c r="Y44" s="6"/>
      <c r="Z44" s="6"/>
      <c r="AA44" s="6"/>
      <c r="AB44" s="6"/>
      <c r="AC44" s="6"/>
      <c r="AD44" s="6" t="str">
        <f>INDEX(PT_DIFFERENTIATION_TER,MATCH(B44,PT_DIFFERENTIATION_TER_ID,0))</f>
        <v/>
      </c>
      <c r="AE44" s="6"/>
      <c r="AF44" s="6"/>
      <c r="AG44" s="6"/>
      <c r="AH44" s="6"/>
      <c r="AI44" s="6"/>
      <c r="AJ44" s="6"/>
      <c r="AK44" s="6"/>
      <c r="AL44" s="6"/>
      <c r="AM44" t="s">
        <v>1722</v>
      </c>
      <c r="AP44" t="str">
        <f t="shared" si="1"/>
        <v>Территория действия тарифа</v>
      </c>
    </row>
    <row r="45" spans="1:42" ht="23.25" customHeight="1" x14ac:dyDescent="0.15">
      <c r="A45" t="s">
        <v>458</v>
      </c>
      <c r="B45" t="s">
        <v>459</v>
      </c>
      <c r="C45" t="s">
        <v>460</v>
      </c>
      <c r="E45" s="6"/>
      <c r="F45" s="6"/>
      <c r="G45" s="6">
        <v>1</v>
      </c>
      <c r="S45" t="str">
        <f>INDEX(PT_DIFFERENTIATION_NUM_CS,MATCH(C45,PT_DIFFERENTIATION_CS_ID,0))</f>
        <v>..</v>
      </c>
      <c r="T45" t="s">
        <v>1723</v>
      </c>
      <c r="V45" s="6"/>
      <c r="W45" s="6"/>
      <c r="X45" s="6"/>
      <c r="Y45" s="6"/>
      <c r="Z45" s="6"/>
      <c r="AA45" s="6"/>
      <c r="AB45" s="6"/>
      <c r="AC45" s="6"/>
      <c r="AD45" s="6" t="str">
        <f>INDEX(PT_DIFFERENTIATION_CS,MATCH(C45,PT_DIFFERENTIATION_CS_ID,0))</f>
        <v/>
      </c>
      <c r="AE45" s="6"/>
      <c r="AF45" s="6"/>
      <c r="AG45" s="6"/>
      <c r="AH45" s="6"/>
      <c r="AI45" s="6"/>
      <c r="AJ45" s="6"/>
      <c r="AK45" s="6"/>
      <c r="AL45" s="6"/>
      <c r="AM45" t="s">
        <v>1724</v>
      </c>
      <c r="AP45" t="str">
        <f t="shared" si="1"/>
        <v xml:space="preserve">Наименование системы теплоснабжения </v>
      </c>
    </row>
    <row r="46" spans="1:42" ht="23.25" customHeight="1" x14ac:dyDescent="0.15">
      <c r="A46" t="s">
        <v>458</v>
      </c>
      <c r="B46" t="s">
        <v>459</v>
      </c>
      <c r="C46" t="s">
        <v>460</v>
      </c>
      <c r="D46" t="s">
        <v>461</v>
      </c>
      <c r="E46" s="6"/>
      <c r="F46" s="6"/>
      <c r="G46" s="6"/>
      <c r="H46" s="6">
        <v>1</v>
      </c>
      <c r="S46" t="str">
        <f>INDEX(PT_DIFFERENTIATION_NUM_IST_TE,MATCH(D46,PT_DIFFERENTIATION_IST_TE_ID,0))</f>
        <v>...</v>
      </c>
      <c r="T46" t="s">
        <v>1725</v>
      </c>
      <c r="V46" s="6"/>
      <c r="W46" s="6"/>
      <c r="X46" s="6"/>
      <c r="Y46" s="6"/>
      <c r="Z46" s="6"/>
      <c r="AA46" s="6"/>
      <c r="AB46" s="6"/>
      <c r="AC46" s="6"/>
      <c r="AD46" s="6" t="str">
        <f>INDEX(PT_DIFFERENTIATION_IST_TE,MATCH(D46,PT_DIFFERENTIATION_IST_TE_ID,0))</f>
        <v/>
      </c>
      <c r="AE46" s="6"/>
      <c r="AF46" s="6"/>
      <c r="AG46" s="6"/>
      <c r="AH46" s="6"/>
      <c r="AI46" s="6"/>
      <c r="AJ46" s="6"/>
      <c r="AK46" s="6"/>
      <c r="AL46" s="6"/>
      <c r="AM46" t="s">
        <v>1726</v>
      </c>
      <c r="AP46" t="str">
        <f t="shared" si="1"/>
        <v xml:space="preserve">Источник тепловой энергии  </v>
      </c>
    </row>
    <row r="47" spans="1:42" ht="47.25" customHeight="1" x14ac:dyDescent="0.15">
      <c r="A47" t="s">
        <v>458</v>
      </c>
      <c r="B47" t="s">
        <v>459</v>
      </c>
      <c r="C47" t="s">
        <v>460</v>
      </c>
      <c r="D47" t="s">
        <v>461</v>
      </c>
      <c r="E47" s="6"/>
      <c r="F47" s="6"/>
      <c r="G47" s="6"/>
      <c r="H47" s="6"/>
      <c r="I47" s="6" t="str">
        <f>S46&amp;".1"</f>
        <v>....1</v>
      </c>
      <c r="L47" t="s">
        <v>1727</v>
      </c>
      <c r="P47" s="6">
        <v>1</v>
      </c>
      <c r="S47" t="str">
        <f>$I47</f>
        <v>....1</v>
      </c>
      <c r="T47" t="s">
        <v>1728</v>
      </c>
      <c r="V47" s="6"/>
      <c r="W47" s="6"/>
      <c r="X47" s="6"/>
      <c r="Y47" s="6"/>
      <c r="Z47" s="6"/>
      <c r="AA47" s="6"/>
      <c r="AB47" s="6"/>
      <c r="AC47" s="6"/>
      <c r="AD47" s="6"/>
      <c r="AE47" s="6"/>
      <c r="AF47" s="6"/>
      <c r="AG47" s="6"/>
      <c r="AH47" s="6"/>
      <c r="AI47" s="6"/>
      <c r="AJ47" s="6"/>
      <c r="AK47" s="6"/>
      <c r="AL47" s="6"/>
      <c r="AM47" t="s">
        <v>1729</v>
      </c>
      <c r="AP47" t="str">
        <f t="shared" si="1"/>
        <v>Схема подключения теплопотребляющей установки к коллектору источника тепловой энергии</v>
      </c>
    </row>
    <row r="48" spans="1:42" ht="23.25" customHeight="1" x14ac:dyDescent="0.15">
      <c r="A48" t="s">
        <v>458</v>
      </c>
      <c r="B48" t="s">
        <v>459</v>
      </c>
      <c r="C48" t="s">
        <v>460</v>
      </c>
      <c r="D48" t="s">
        <v>461</v>
      </c>
      <c r="E48" s="6"/>
      <c r="F48" s="6"/>
      <c r="G48" s="6"/>
      <c r="H48" s="6"/>
      <c r="I48" s="6"/>
      <c r="J48" s="6" t="str">
        <f>I47&amp;".1"</f>
        <v>....1.1</v>
      </c>
      <c r="L48" t="s">
        <v>1730</v>
      </c>
      <c r="P48" s="6"/>
      <c r="Q48" s="6">
        <v>1</v>
      </c>
      <c r="S48" t="str">
        <f>$J48</f>
        <v>....1.1</v>
      </c>
      <c r="T48" t="s">
        <v>1731</v>
      </c>
      <c r="V48" s="6"/>
      <c r="W48" s="6"/>
      <c r="X48" s="6"/>
      <c r="Y48" s="6"/>
      <c r="Z48" s="6"/>
      <c r="AA48" s="6"/>
      <c r="AB48" s="6"/>
      <c r="AC48" s="6"/>
      <c r="AD48" s="6"/>
      <c r="AE48" s="6"/>
      <c r="AF48" s="6"/>
      <c r="AG48" s="6"/>
      <c r="AH48" s="6"/>
      <c r="AI48" s="6"/>
      <c r="AJ48" s="6"/>
      <c r="AK48" s="6"/>
      <c r="AL48" s="6"/>
      <c r="AM48" t="s">
        <v>1732</v>
      </c>
      <c r="AP48" t="str">
        <f t="shared" si="1"/>
        <v>Группа потребителей</v>
      </c>
    </row>
    <row r="49" spans="1:42" ht="23.25" customHeight="1" x14ac:dyDescent="0.15">
      <c r="A49" t="s">
        <v>458</v>
      </c>
      <c r="B49" t="s">
        <v>459</v>
      </c>
      <c r="C49" t="s">
        <v>460</v>
      </c>
      <c r="D49" t="s">
        <v>461</v>
      </c>
      <c r="E49" s="6"/>
      <c r="F49" s="6"/>
      <c r="G49" s="6"/>
      <c r="H49" s="6"/>
      <c r="I49" s="6"/>
      <c r="J49" s="6"/>
      <c r="K49" s="6" t="str">
        <f>J48&amp;".1"</f>
        <v>....1.1.1</v>
      </c>
      <c r="L49" t="s">
        <v>1733</v>
      </c>
      <c r="P49" s="6"/>
      <c r="Q49" s="6"/>
      <c r="R49">
        <v>1</v>
      </c>
      <c r="S49" t="str">
        <f>$K49</f>
        <v>....1.1.1</v>
      </c>
      <c r="Z49" s="6"/>
      <c r="AA49" s="6" t="s">
        <v>50</v>
      </c>
      <c r="AB49" s="6"/>
      <c r="AC49" s="6" t="s">
        <v>50</v>
      </c>
      <c r="AH49" s="6"/>
      <c r="AI49" s="6" t="s">
        <v>50</v>
      </c>
      <c r="AJ49" s="6"/>
      <c r="AK49" s="6" t="s">
        <v>50</v>
      </c>
      <c r="AM49" s="6" t="s">
        <v>1734</v>
      </c>
      <c r="AN49" t="e">
        <f ca="1">STRCHECKDATE(V50:AL50)</f>
        <v>#NAME?</v>
      </c>
      <c r="AP49" t="str">
        <f t="shared" si="1"/>
        <v/>
      </c>
    </row>
    <row r="50" spans="1:42" ht="0.75" customHeight="1" x14ac:dyDescent="0.15">
      <c r="A50" t="s">
        <v>458</v>
      </c>
      <c r="B50" t="s">
        <v>459</v>
      </c>
      <c r="C50" t="s">
        <v>460</v>
      </c>
      <c r="D50" t="s">
        <v>461</v>
      </c>
      <c r="E50" s="6"/>
      <c r="F50" s="6"/>
      <c r="G50" s="6"/>
      <c r="H50" s="6"/>
      <c r="I50" s="6"/>
      <c r="J50" s="6"/>
      <c r="K50" s="6"/>
      <c r="P50" s="6"/>
      <c r="Q50" s="6"/>
      <c r="Y50" t="str">
        <f>Z49&amp;"-"&amp;AB49</f>
        <v>-</v>
      </c>
      <c r="Z50" s="6"/>
      <c r="AA50" s="6"/>
      <c r="AB50" s="6"/>
      <c r="AC50" s="6"/>
      <c r="AG50" t="str">
        <f>AH49&amp;"-"&amp;AJ49</f>
        <v>-</v>
      </c>
      <c r="AH50" s="6"/>
      <c r="AI50" s="6"/>
      <c r="AJ50" s="6"/>
      <c r="AK50" s="6"/>
      <c r="AM50" s="6"/>
      <c r="AP50" t="str">
        <f t="shared" si="1"/>
        <v/>
      </c>
    </row>
    <row r="51" spans="1:42" ht="11.25" customHeight="1" x14ac:dyDescent="0.15">
      <c r="A51" t="s">
        <v>458</v>
      </c>
      <c r="B51" t="s">
        <v>459</v>
      </c>
      <c r="C51" t="s">
        <v>460</v>
      </c>
      <c r="D51" t="s">
        <v>461</v>
      </c>
      <c r="E51" s="6"/>
      <c r="F51" s="6"/>
      <c r="G51" s="6"/>
      <c r="H51" s="6"/>
      <c r="I51" s="6"/>
      <c r="J51" s="6"/>
      <c r="P51" s="6"/>
      <c r="Q51" s="6"/>
      <c r="T51" t="s">
        <v>1735</v>
      </c>
      <c r="AM51" s="6"/>
      <c r="AP51" t="str">
        <f t="shared" si="1"/>
        <v>Добавить вид теплоносителя (параметры теплоносителя)</v>
      </c>
    </row>
    <row r="52" spans="1:42" ht="11.25" customHeight="1" x14ac:dyDescent="0.15">
      <c r="A52" t="s">
        <v>458</v>
      </c>
      <c r="B52" t="s">
        <v>459</v>
      </c>
      <c r="C52" t="s">
        <v>460</v>
      </c>
      <c r="D52" t="s">
        <v>461</v>
      </c>
      <c r="E52" s="6"/>
      <c r="F52" s="6"/>
      <c r="G52" s="6"/>
      <c r="H52" s="6"/>
      <c r="I52" s="6"/>
      <c r="P52" s="6"/>
      <c r="T52" t="s">
        <v>1736</v>
      </c>
      <c r="AP52" t="str">
        <f t="shared" si="1"/>
        <v>Добавить группу потребителей</v>
      </c>
    </row>
    <row r="53" spans="1:42" ht="14.25" customHeight="1" x14ac:dyDescent="0.15">
      <c r="A53" t="s">
        <v>458</v>
      </c>
      <c r="B53" t="s">
        <v>459</v>
      </c>
      <c r="C53" t="s">
        <v>460</v>
      </c>
      <c r="D53" t="s">
        <v>461</v>
      </c>
      <c r="E53" s="6"/>
      <c r="F53" s="6"/>
      <c r="G53" s="6"/>
      <c r="H53" s="6"/>
      <c r="T53" t="s">
        <v>1737</v>
      </c>
      <c r="AP53" t="str">
        <f t="shared" si="1"/>
        <v>Добавить схему подключения</v>
      </c>
    </row>
    <row r="54" spans="1:42" ht="0.75" customHeight="1" x14ac:dyDescent="0.15">
      <c r="A54" t="s">
        <v>458</v>
      </c>
      <c r="B54" t="s">
        <v>459</v>
      </c>
      <c r="C54" t="s">
        <v>460</v>
      </c>
      <c r="E54" s="6"/>
      <c r="F54" s="6"/>
      <c r="G54" s="6"/>
      <c r="T54" t="s">
        <v>1696</v>
      </c>
      <c r="AP54" t="str">
        <f t="shared" si="1"/>
        <v>Добавить источник для дифференциации</v>
      </c>
    </row>
    <row r="55" spans="1:42" ht="0.75" customHeight="1" x14ac:dyDescent="0.15">
      <c r="A55" t="s">
        <v>458</v>
      </c>
      <c r="B55" t="s">
        <v>459</v>
      </c>
      <c r="E55" s="6"/>
      <c r="F55" s="6"/>
      <c r="T55" t="s">
        <v>1697</v>
      </c>
      <c r="AP55" t="str">
        <f t="shared" si="1"/>
        <v>Добавить централизованную систему для дифференциации</v>
      </c>
    </row>
    <row r="56" spans="1:42" ht="0.75" customHeight="1" x14ac:dyDescent="0.15">
      <c r="A56" t="s">
        <v>458</v>
      </c>
      <c r="E56" s="6"/>
      <c r="T56" t="s">
        <v>1698</v>
      </c>
      <c r="AP56" t="str">
        <f t="shared" si="1"/>
        <v>Добавить территорию для дифференциации</v>
      </c>
    </row>
    <row r="57" spans="1:42" ht="0.75" customHeight="1" x14ac:dyDescent="0.15">
      <c r="T57" t="s">
        <v>1699</v>
      </c>
      <c r="AP57" t="str">
        <f t="shared" si="1"/>
        <v>Добавить наименование тарифа</v>
      </c>
    </row>
    <row r="58" spans="1:42" ht="11.25" hidden="1" customHeight="1" x14ac:dyDescent="0.15"/>
    <row r="59" spans="1:42" ht="27" hidden="1" customHeight="1" x14ac:dyDescent="0.15">
      <c r="S59" t="s">
        <v>1769</v>
      </c>
      <c r="T59" s="6" t="s">
        <v>1770</v>
      </c>
      <c r="U59" s="6"/>
      <c r="V59" s="6"/>
      <c r="W59" s="6"/>
      <c r="X59" s="6"/>
      <c r="Y59" s="6"/>
      <c r="Z59" s="6"/>
      <c r="AA59" s="6"/>
      <c r="AB59" s="6"/>
      <c r="AC59" s="6"/>
      <c r="AD59" s="6"/>
      <c r="AE59" s="6"/>
      <c r="AF59" s="6"/>
      <c r="AG59" s="6"/>
      <c r="AH59" s="6"/>
      <c r="AI59" s="6"/>
      <c r="AJ59" s="6"/>
      <c r="AK59" s="6"/>
      <c r="AL59" s="6"/>
      <c r="AM59" s="6"/>
    </row>
    <row r="60" spans="1:42" ht="64.5" hidden="1" customHeight="1" x14ac:dyDescent="0.15">
      <c r="T60" s="6" t="s">
        <v>1771</v>
      </c>
      <c r="U60" s="6"/>
      <c r="V60" s="6"/>
      <c r="W60" s="6"/>
      <c r="X60" s="6"/>
      <c r="Y60" s="6"/>
      <c r="Z60" s="6"/>
      <c r="AA60" s="6"/>
      <c r="AB60" s="6"/>
      <c r="AC60" s="6"/>
      <c r="AD60" s="6"/>
      <c r="AE60" s="6"/>
      <c r="AF60" s="6"/>
      <c r="AG60" s="6"/>
      <c r="AH60" s="6"/>
      <c r="AI60" s="6"/>
      <c r="AJ60" s="6"/>
      <c r="AK60" s="6"/>
      <c r="AL60" s="6"/>
      <c r="AM60" s="6"/>
    </row>
    <row r="61" spans="1:42" ht="14.25" hidden="1" customHeight="1" x14ac:dyDescent="0.15"/>
    <row r="62" spans="1:42" ht="18" hidden="1" customHeight="1" x14ac:dyDescent="0.15">
      <c r="S62" t="s">
        <v>1769</v>
      </c>
      <c r="T62" s="6" t="s">
        <v>1772</v>
      </c>
      <c r="U62" s="6"/>
      <c r="V62" s="6"/>
      <c r="W62" s="6"/>
      <c r="X62" s="6"/>
      <c r="Y62" s="6"/>
      <c r="Z62" s="6"/>
      <c r="AA62" s="6"/>
      <c r="AB62" s="6"/>
      <c r="AC62" s="6"/>
      <c r="AD62" s="6"/>
      <c r="AE62" s="6"/>
      <c r="AF62" s="6"/>
      <c r="AG62" s="6"/>
      <c r="AH62" s="6"/>
      <c r="AI62" s="6"/>
      <c r="AJ62" s="6"/>
      <c r="AK62" s="6"/>
      <c r="AL62" s="6"/>
      <c r="AM62" s="6"/>
    </row>
    <row r="63" spans="1:42" ht="18" hidden="1" customHeight="1" x14ac:dyDescent="0.15">
      <c r="T63" s="6" t="s">
        <v>1773</v>
      </c>
      <c r="U63" s="6"/>
      <c r="V63" s="6"/>
      <c r="W63" s="6"/>
      <c r="X63" s="6"/>
      <c r="Y63" s="6"/>
      <c r="Z63" s="6"/>
      <c r="AA63" s="6"/>
      <c r="AB63" s="6"/>
      <c r="AC63" s="6"/>
      <c r="AD63" s="6"/>
      <c r="AE63" s="6"/>
      <c r="AF63" s="6"/>
      <c r="AG63" s="6"/>
      <c r="AH63" s="6"/>
      <c r="AI63" s="6"/>
      <c r="AJ63" s="6"/>
      <c r="AK63" s="6"/>
      <c r="AL63" s="6"/>
      <c r="AM63" s="6"/>
    </row>
    <row r="64" spans="1:42" ht="27.75" hidden="1" customHeight="1" x14ac:dyDescent="0.15">
      <c r="T64" s="6" t="s">
        <v>1774</v>
      </c>
      <c r="U64" s="6"/>
      <c r="V64" s="6"/>
      <c r="W64" s="6"/>
      <c r="X64" s="6"/>
      <c r="Y64" s="6"/>
      <c r="Z64" s="6"/>
      <c r="AA64" s="6"/>
      <c r="AB64" s="6"/>
      <c r="AC64" s="6"/>
      <c r="AD64" s="6"/>
      <c r="AE64" s="6"/>
      <c r="AF64" s="6"/>
      <c r="AG64" s="6"/>
      <c r="AH64" s="6"/>
      <c r="AI64" s="6"/>
      <c r="AJ64" s="6"/>
      <c r="AK64" s="6"/>
      <c r="AL64" s="6"/>
      <c r="AM64" s="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x14ac:dyDescent="0.15"/>
    <row r="2" spans="5:42"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t="s">
        <v>1720</v>
      </c>
      <c r="AP2" t="str">
        <f t="shared" ref="AP2:AP15" si="0">IF(T2="","",T2)</f>
        <v>Наименование тарифа</v>
      </c>
    </row>
    <row r="3" spans="5:42"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t="s">
        <v>1722</v>
      </c>
      <c r="AP3" t="str">
        <f t="shared" si="0"/>
        <v>Территория действия тарифа</v>
      </c>
    </row>
    <row r="4" spans="5:42" ht="23.25" hidden="1" customHeight="1" x14ac:dyDescent="0.15">
      <c r="E4" s="6"/>
      <c r="F4" s="6"/>
      <c r="G4" s="6">
        <v>1</v>
      </c>
      <c r="S4" t="e">
        <f>INDEX(PT_DIFFERENTIATION_NUM_CS,MATCH(C4,PT_DIFFERENTIATION_CS_ID,0))</f>
        <v>#N/A</v>
      </c>
      <c r="T4" t="s">
        <v>1723</v>
      </c>
      <c r="V4" s="6"/>
      <c r="W4" s="6"/>
      <c r="X4" s="6"/>
      <c r="Y4" s="6"/>
      <c r="Z4" s="6"/>
      <c r="AA4" s="6"/>
      <c r="AB4" s="6"/>
      <c r="AC4" s="6"/>
      <c r="AD4" s="6" t="e">
        <f>INDEX(PT_DIFFERENTIATION_CS,MATCH(C4,PT_DIFFERENTIATION_CS_ID,0))</f>
        <v>#N/A</v>
      </c>
      <c r="AE4" s="6"/>
      <c r="AF4" s="6"/>
      <c r="AG4" s="6"/>
      <c r="AH4" s="6"/>
      <c r="AI4" s="6"/>
      <c r="AJ4" s="6"/>
      <c r="AK4" s="6"/>
      <c r="AL4" s="6"/>
      <c r="AM4" t="s">
        <v>1724</v>
      </c>
      <c r="AP4" t="str">
        <f t="shared" si="0"/>
        <v xml:space="preserve">Наименование системы теплоснабжения </v>
      </c>
    </row>
    <row r="5" spans="5:42" ht="21" hidden="1" customHeight="1" x14ac:dyDescent="0.15">
      <c r="E5" s="6"/>
      <c r="F5" s="6"/>
      <c r="G5" s="6"/>
      <c r="H5" s="6">
        <v>1</v>
      </c>
      <c r="S5" t="e">
        <f>INDEX(PT_DIFFERENTIATION_NUM_IST_TE,MATCH(D5,PT_DIFFERENTIATION_IST_TE_ID,0))</f>
        <v>#N/A</v>
      </c>
      <c r="T5" t="s">
        <v>1725</v>
      </c>
      <c r="V5" s="6"/>
      <c r="W5" s="6"/>
      <c r="X5" s="6"/>
      <c r="Y5" s="6"/>
      <c r="Z5" s="6"/>
      <c r="AA5" s="6"/>
      <c r="AB5" s="6"/>
      <c r="AC5" s="6"/>
      <c r="AD5" s="6" t="e">
        <f>INDEX(PT_DIFFERENTIATION_IST_TE,MATCH(D5,PT_DIFFERENTIATION_IST_TE_ID,0))</f>
        <v>#N/A</v>
      </c>
      <c r="AE5" s="6"/>
      <c r="AF5" s="6"/>
      <c r="AG5" s="6"/>
      <c r="AH5" s="6"/>
      <c r="AI5" s="6"/>
      <c r="AJ5" s="6"/>
      <c r="AK5" s="6"/>
      <c r="AL5" s="6"/>
      <c r="AM5" t="s">
        <v>1726</v>
      </c>
      <c r="AP5" t="str">
        <f t="shared" si="0"/>
        <v xml:space="preserve">Источник тепловой энергии  </v>
      </c>
    </row>
    <row r="6" spans="5:42" ht="47.25" hidden="1" customHeight="1" x14ac:dyDescent="0.15">
      <c r="E6" s="6"/>
      <c r="F6" s="6"/>
      <c r="G6" s="6"/>
      <c r="H6" s="6"/>
      <c r="I6" s="6" t="e">
        <f>S5&amp;".1"</f>
        <v>#N/A</v>
      </c>
      <c r="L6" t="s">
        <v>1727</v>
      </c>
      <c r="P6" s="6">
        <v>1</v>
      </c>
      <c r="S6" t="e">
        <f>$I6</f>
        <v>#N/A</v>
      </c>
      <c r="T6" t="s">
        <v>1728</v>
      </c>
      <c r="V6" s="6"/>
      <c r="W6" s="6"/>
      <c r="X6" s="6"/>
      <c r="Y6" s="6"/>
      <c r="Z6" s="6"/>
      <c r="AA6" s="6"/>
      <c r="AB6" s="6"/>
      <c r="AC6" s="6"/>
      <c r="AD6" s="6"/>
      <c r="AE6" s="6"/>
      <c r="AF6" s="6"/>
      <c r="AG6" s="6"/>
      <c r="AH6" s="6"/>
      <c r="AI6" s="6"/>
      <c r="AJ6" s="6"/>
      <c r="AK6" s="6"/>
      <c r="AL6" s="6"/>
      <c r="AM6" t="s">
        <v>1729</v>
      </c>
      <c r="AP6" t="str">
        <f t="shared" si="0"/>
        <v>Схема подключения теплопотребляющей установки к коллектору источника тепловой энергии</v>
      </c>
    </row>
    <row r="7" spans="5:42" ht="21" hidden="1" customHeight="1" x14ac:dyDescent="0.15">
      <c r="E7" s="6"/>
      <c r="F7" s="6"/>
      <c r="G7" s="6"/>
      <c r="H7" s="6"/>
      <c r="I7" s="6"/>
      <c r="J7" s="6" t="e">
        <f>I6&amp;".1"</f>
        <v>#N/A</v>
      </c>
      <c r="L7" t="s">
        <v>1730</v>
      </c>
      <c r="P7" s="6"/>
      <c r="Q7" s="6">
        <v>1</v>
      </c>
      <c r="S7" t="e">
        <f>$J7</f>
        <v>#N/A</v>
      </c>
      <c r="T7" t="s">
        <v>1731</v>
      </c>
      <c r="V7" s="6"/>
      <c r="W7" s="6"/>
      <c r="X7" s="6"/>
      <c r="Y7" s="6"/>
      <c r="Z7" s="6"/>
      <c r="AA7" s="6"/>
      <c r="AB7" s="6"/>
      <c r="AC7" s="6"/>
      <c r="AD7" s="6"/>
      <c r="AE7" s="6"/>
      <c r="AF7" s="6"/>
      <c r="AG7" s="6"/>
      <c r="AH7" s="6"/>
      <c r="AI7" s="6"/>
      <c r="AJ7" s="6"/>
      <c r="AK7" s="6"/>
      <c r="AL7" s="6"/>
      <c r="AM7" t="s">
        <v>1732</v>
      </c>
      <c r="AP7" t="str">
        <f t="shared" si="0"/>
        <v>Группа потребителей</v>
      </c>
    </row>
    <row r="8" spans="5:42" ht="21" hidden="1" customHeight="1" x14ac:dyDescent="0.15">
      <c r="E8" s="6"/>
      <c r="F8" s="6"/>
      <c r="G8" s="6"/>
      <c r="H8" s="6"/>
      <c r="I8" s="6"/>
      <c r="J8" s="6"/>
      <c r="K8" s="6" t="e">
        <f>J7&amp;".1"</f>
        <v>#N/A</v>
      </c>
      <c r="L8" t="s">
        <v>1733</v>
      </c>
      <c r="P8" s="6"/>
      <c r="Q8" s="6"/>
      <c r="R8">
        <v>1</v>
      </c>
      <c r="S8" t="e">
        <f>$K8</f>
        <v>#N/A</v>
      </c>
      <c r="Z8" s="6"/>
      <c r="AA8" s="6" t="s">
        <v>50</v>
      </c>
      <c r="AB8" s="6"/>
      <c r="AC8" s="6" t="s">
        <v>50</v>
      </c>
      <c r="AH8" s="6"/>
      <c r="AI8" s="6" t="s">
        <v>50</v>
      </c>
      <c r="AJ8" s="6"/>
      <c r="AK8" s="6" t="s">
        <v>50</v>
      </c>
      <c r="AM8" s="6" t="s">
        <v>1734</v>
      </c>
      <c r="AN8" t="e">
        <f ca="1">STRCHECKDATE(V9:AL9)</f>
        <v>#NAME?</v>
      </c>
      <c r="AP8" t="str">
        <f t="shared" si="0"/>
        <v/>
      </c>
    </row>
    <row r="9" spans="5:42" ht="0.75" hidden="1" customHeight="1" x14ac:dyDescent="0.15">
      <c r="E9" s="6"/>
      <c r="F9" s="6"/>
      <c r="G9" s="6"/>
      <c r="H9" s="6"/>
      <c r="I9" s="6"/>
      <c r="J9" s="6"/>
      <c r="K9" s="6"/>
      <c r="P9" s="6"/>
      <c r="Q9" s="6"/>
      <c r="Y9" t="str">
        <f>Z8&amp;"-"&amp;AB8</f>
        <v>-</v>
      </c>
      <c r="Z9" s="6"/>
      <c r="AA9" s="6"/>
      <c r="AB9" s="6"/>
      <c r="AC9" s="6"/>
      <c r="AG9" t="str">
        <f>AH8&amp;"-"&amp;AJ8</f>
        <v>-</v>
      </c>
      <c r="AH9" s="6"/>
      <c r="AI9" s="6"/>
      <c r="AJ9" s="6"/>
      <c r="AK9" s="6"/>
      <c r="AM9" s="6"/>
      <c r="AP9" t="str">
        <f t="shared" si="0"/>
        <v/>
      </c>
    </row>
    <row r="10" spans="5:42" ht="15" hidden="1" customHeight="1" x14ac:dyDescent="0.15">
      <c r="E10" s="6"/>
      <c r="F10" s="6"/>
      <c r="G10" s="6"/>
      <c r="H10" s="6"/>
      <c r="I10" s="6"/>
      <c r="J10" s="6"/>
      <c r="P10" s="6"/>
      <c r="Q10" s="6"/>
      <c r="T10" t="s">
        <v>1735</v>
      </c>
      <c r="AM10" s="6"/>
      <c r="AP10" t="str">
        <f t="shared" si="0"/>
        <v>Добавить вид теплоносителя (параметры теплоносителя)</v>
      </c>
    </row>
    <row r="11" spans="5:42" ht="15" hidden="1" customHeight="1" x14ac:dyDescent="0.15">
      <c r="E11" s="6"/>
      <c r="F11" s="6"/>
      <c r="G11" s="6"/>
      <c r="H11" s="6"/>
      <c r="I11" s="6"/>
      <c r="P11" s="6"/>
      <c r="T11" t="s">
        <v>1736</v>
      </c>
      <c r="AP11" t="str">
        <f t="shared" si="0"/>
        <v>Добавить группу потребителей</v>
      </c>
    </row>
    <row r="12" spans="5:42" ht="14.25" hidden="1" customHeight="1" x14ac:dyDescent="0.15">
      <c r="E12" s="6"/>
      <c r="F12" s="6"/>
      <c r="G12" s="6"/>
      <c r="H12" s="6"/>
      <c r="T12" t="s">
        <v>1737</v>
      </c>
      <c r="AP12" t="str">
        <f t="shared" si="0"/>
        <v>Добавить схему подключения</v>
      </c>
    </row>
    <row r="13" spans="5:42" ht="0.75" hidden="1" customHeight="1" x14ac:dyDescent="0.15">
      <c r="E13" s="6"/>
      <c r="F13" s="6"/>
      <c r="G13" s="6"/>
      <c r="T13" t="s">
        <v>1696</v>
      </c>
      <c r="AP13" t="str">
        <f t="shared" si="0"/>
        <v>Добавить источник для дифференциации</v>
      </c>
    </row>
    <row r="14" spans="5:42" ht="0.75" hidden="1" customHeight="1" x14ac:dyDescent="0.15">
      <c r="E14" s="6"/>
      <c r="F14" s="6"/>
      <c r="T14" t="s">
        <v>1697</v>
      </c>
      <c r="AP14" t="str">
        <f t="shared" si="0"/>
        <v>Добавить централизованную систему для дифференциации</v>
      </c>
    </row>
    <row r="15" spans="5:42" ht="0.75" hidden="1" customHeight="1" x14ac:dyDescent="0.15">
      <c r="E15" s="6"/>
      <c r="T15" t="s">
        <v>1698</v>
      </c>
      <c r="AP15" t="str">
        <f t="shared" si="0"/>
        <v>Добавить территорию для дифференциации</v>
      </c>
    </row>
    <row r="16" spans="5:42" ht="14.25" hidden="1" customHeight="1" x14ac:dyDescent="0.15"/>
    <row r="17" spans="15:37" ht="14.25" hidden="1" customHeight="1" x14ac:dyDescent="0.15">
      <c r="AH17" s="6"/>
      <c r="AI17" s="6" t="s">
        <v>50</v>
      </c>
      <c r="AJ17" s="6"/>
      <c r="AK17" s="6" t="s">
        <v>50</v>
      </c>
    </row>
    <row r="18" spans="15:37" ht="14.25" hidden="1" customHeight="1" x14ac:dyDescent="0.15">
      <c r="AG18" t="str">
        <f>AH17&amp;"-"&amp;AJ17</f>
        <v>-</v>
      </c>
      <c r="AH18" s="6"/>
      <c r="AI18" s="6"/>
      <c r="AJ18" s="6"/>
      <c r="AK18" s="6"/>
    </row>
    <row r="19" spans="15:37" ht="14.25" hidden="1" customHeight="1" x14ac:dyDescent="0.15"/>
    <row r="20" spans="15:37" ht="22.5" hidden="1" customHeight="1" x14ac:dyDescent="0.15">
      <c r="O20" t="s">
        <v>1738</v>
      </c>
    </row>
    <row r="21" spans="15:37" ht="14.25" hidden="1" customHeight="1" x14ac:dyDescent="0.15"/>
    <row r="22" spans="15:37" ht="14.25" hidden="1" customHeight="1" x14ac:dyDescent="0.15">
      <c r="O22" t="s">
        <v>1739</v>
      </c>
      <c r="T22" t="s">
        <v>1740</v>
      </c>
      <c r="AA22" t="s">
        <v>1741</v>
      </c>
      <c r="AC22" t="s">
        <v>1742</v>
      </c>
      <c r="AD22" t="s">
        <v>1740</v>
      </c>
      <c r="AI22" t="s">
        <v>1743</v>
      </c>
      <c r="AK22" t="s">
        <v>1742</v>
      </c>
    </row>
    <row r="23" spans="15:37" ht="14.25" hidden="1" customHeight="1" x14ac:dyDescent="0.15"/>
    <row r="24" spans="15:37" ht="14.25" hidden="1" customHeight="1" x14ac:dyDescent="0.15"/>
    <row r="26" spans="15:37" ht="64.5" customHeight="1" x14ac:dyDescent="0.15">
      <c r="S26" s="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6"/>
      <c r="U26" s="6"/>
      <c r="V26" s="6"/>
      <c r="W26" s="6"/>
      <c r="X26" s="6"/>
      <c r="Y26" s="6"/>
      <c r="Z26" s="6"/>
      <c r="AA26" s="6"/>
      <c r="AB26" s="6"/>
      <c r="AC26" s="6"/>
      <c r="AD26" s="6"/>
      <c r="AE26" s="6"/>
      <c r="AF26" s="6"/>
      <c r="AG26" s="6"/>
      <c r="AH26" s="6"/>
      <c r="AI26" s="6"/>
      <c r="AJ26" s="6"/>
    </row>
    <row r="27" spans="15:37" ht="14.25" customHeight="1" x14ac:dyDescent="0.15">
      <c r="S27" s="6" t="str">
        <f>IF(org=0,"Не определено",org)</f>
        <v>КГУП "Примтеплоэнерго"</v>
      </c>
      <c r="T27" s="6"/>
      <c r="U27" s="6"/>
      <c r="V27" s="6"/>
      <c r="W27" s="6"/>
      <c r="X27" s="6"/>
      <c r="Y27" s="6"/>
      <c r="Z27" s="6"/>
      <c r="AA27" s="6"/>
      <c r="AB27" s="6"/>
      <c r="AC27" s="6"/>
      <c r="AD27" s="6"/>
      <c r="AE27" s="6"/>
      <c r="AF27" s="6"/>
      <c r="AG27" s="6"/>
      <c r="AH27" s="6"/>
      <c r="AI27" s="6"/>
      <c r="AJ27" s="6"/>
    </row>
    <row r="28" spans="15:37" ht="14.25" hidden="1" customHeight="1" x14ac:dyDescent="0.15"/>
    <row r="29" spans="15:37" ht="25.5" hidden="1" customHeight="1" x14ac:dyDescent="0.15">
      <c r="S29" s="6" t="s">
        <v>25</v>
      </c>
      <c r="T29" s="6"/>
      <c r="V29" s="6" t="str">
        <f>IF(TITLE_NAME_OR_PR_CHANGE="",IF(TITLE_NAME_OR_PR="","",TITLE_NAME_OR_PR),TITLE_NAME_OR_PR_CHANGE)</f>
        <v/>
      </c>
      <c r="W29" s="6"/>
      <c r="X29" s="6"/>
      <c r="Y29" s="6"/>
      <c r="Z29" s="6"/>
      <c r="AA29" s="6"/>
      <c r="AB29" s="6"/>
      <c r="AD29" s="6" t="str">
        <f>IF(TITLE_NAME_OR_PR_CHANGE="",IF(TITLE_NAME_OR_PR="","",TITLE_NAME_OR_PR),TITLE_NAME_OR_PR_CHANGE)</f>
        <v/>
      </c>
      <c r="AE29" s="6"/>
      <c r="AF29" s="6"/>
      <c r="AG29" s="6"/>
      <c r="AH29" s="6"/>
      <c r="AI29" s="6"/>
      <c r="AJ29" s="6"/>
    </row>
    <row r="30" spans="15:37" ht="18.75" hidden="1" customHeight="1" x14ac:dyDescent="0.15">
      <c r="S30" s="6" t="s">
        <v>1744</v>
      </c>
      <c r="T30" s="6"/>
      <c r="V30" s="6" t="str">
        <f>IF(TITLE_DATE_CHANGE_PERIOD="",IF(TITLE_DATE_PR="","",TITLE_DATE_PR),TITLE_DATE_CHANGE_PERIOD)</f>
        <v/>
      </c>
      <c r="W30" s="6"/>
      <c r="X30" s="6"/>
      <c r="Y30" s="6"/>
      <c r="Z30" s="6"/>
      <c r="AA30" s="6"/>
      <c r="AB30" s="6"/>
      <c r="AD30" s="6" t="str">
        <f>IF(TITLE_DATE_CHANGE_PERIOD="",IF(TITLE_DATE_PR="","",TITLE_DATE_PR),TITLE_DATE_CHANGE_PERIOD)</f>
        <v/>
      </c>
      <c r="AE30" s="6"/>
      <c r="AF30" s="6"/>
      <c r="AG30" s="6"/>
      <c r="AH30" s="6"/>
      <c r="AI30" s="6"/>
      <c r="AJ30" s="6"/>
    </row>
    <row r="31" spans="15:37" ht="18.75" hidden="1" customHeight="1" x14ac:dyDescent="0.15">
      <c r="S31" s="6" t="s">
        <v>1745</v>
      </c>
      <c r="T31" s="6"/>
      <c r="V31" s="6" t="str">
        <f>IF(TITLE_NUMBER_PR_CHANGE="",IF(TITLE_NUMBER_PR="","",TITLE_NUMBER_PR),TITLE_NUMBER_PR_CHANGE)</f>
        <v/>
      </c>
      <c r="W31" s="6"/>
      <c r="X31" s="6"/>
      <c r="Y31" s="6"/>
      <c r="Z31" s="6"/>
      <c r="AA31" s="6"/>
      <c r="AB31" s="6"/>
      <c r="AD31" s="6" t="str">
        <f>IF(TITLE_NUMBER_PR_CHANGE="",IF(TITLE_NUMBER_PR="","",TITLE_NUMBER_PR),TITLE_NUMBER_PR_CHANGE)</f>
        <v/>
      </c>
      <c r="AE31" s="6"/>
      <c r="AF31" s="6"/>
      <c r="AG31" s="6"/>
      <c r="AH31" s="6"/>
      <c r="AI31" s="6"/>
      <c r="AJ31" s="6"/>
    </row>
    <row r="32" spans="15:37" ht="18.75" hidden="1" customHeight="1" x14ac:dyDescent="0.15">
      <c r="S32" s="6" t="s">
        <v>26</v>
      </c>
      <c r="T32" s="6"/>
      <c r="V32" s="6" t="str">
        <f>IF(TITLE_IST_PUB_CHANGE="",IF(TITLE_IST_PUB="","",TITLE_IST_PUB),TITLE_IST_PUB_CHANGE)</f>
        <v/>
      </c>
      <c r="W32" s="6"/>
      <c r="X32" s="6"/>
      <c r="Y32" s="6"/>
      <c r="Z32" s="6"/>
      <c r="AA32" s="6"/>
      <c r="AB32" s="6"/>
      <c r="AD32" s="6" t="str">
        <f>IF(TITLE_IST_PUB_CHANGE="",IF(TITLE_IST_PUB="","",TITLE_IST_PUB),TITLE_IST_PUB_CHANGE)</f>
        <v/>
      </c>
      <c r="AE32" s="6"/>
      <c r="AF32" s="6"/>
      <c r="AG32" s="6"/>
      <c r="AH32" s="6"/>
      <c r="AI32" s="6"/>
      <c r="AJ32" s="6"/>
    </row>
    <row r="33" spans="1:42" ht="14.25" hidden="1" customHeight="1" x14ac:dyDescent="0.15"/>
    <row r="34" spans="1:42" ht="18.75" hidden="1" customHeight="1" x14ac:dyDescent="0.15">
      <c r="S34" s="6" t="s">
        <v>1746</v>
      </c>
      <c r="T34" s="6"/>
      <c r="V34" s="6" t="str">
        <f>IF(TITLE_DATE_CHANGE_PERIOD="",IF(TITLE_DATE_PR="","",TITLE_DATE_PR),TITLE_DATE_CHANGE_PERIOD)</f>
        <v/>
      </c>
      <c r="W34" s="6"/>
      <c r="X34" s="6"/>
      <c r="Y34" s="6"/>
      <c r="Z34" s="6"/>
      <c r="AA34" s="6"/>
      <c r="AB34" s="6"/>
      <c r="AD34" s="6" t="str">
        <f>IF(TITLE_DATE_CHANGE_PERIOD="",IF(TITLE_DATE_PR="","",TITLE_DATE_PR),TITLE_DATE_CHANGE_PERIOD)</f>
        <v/>
      </c>
      <c r="AE34" s="6"/>
      <c r="AF34" s="6"/>
      <c r="AG34" s="6"/>
      <c r="AH34" s="6"/>
      <c r="AI34" s="6"/>
      <c r="AJ34" s="6"/>
    </row>
    <row r="35" spans="1:42" ht="18.75" hidden="1" customHeight="1" x14ac:dyDescent="0.15">
      <c r="S35" s="6" t="s">
        <v>1747</v>
      </c>
      <c r="T35" s="6"/>
      <c r="V35" s="6" t="str">
        <f>IF(TITLE_NUMBER_PR_CHANGE="",IF(TITLE_NUMBER_PR="","",TITLE_NUMBER_PR),TITLE_NUMBER_PR_CHANGE)</f>
        <v/>
      </c>
      <c r="W35" s="6"/>
      <c r="X35" s="6"/>
      <c r="Y35" s="6"/>
      <c r="Z35" s="6"/>
      <c r="AA35" s="6"/>
      <c r="AB35" s="6"/>
      <c r="AD35" s="6" t="str">
        <f>IF(TITLE_NUMBER_PR_CHANGE="",IF(TITLE_NUMBER_PR="","",TITLE_NUMBER_PR),TITLE_NUMBER_PR_CHANGE)</f>
        <v/>
      </c>
      <c r="AE35" s="6"/>
      <c r="AF35" s="6"/>
      <c r="AG35" s="6"/>
      <c r="AH35" s="6"/>
      <c r="AI35" s="6"/>
      <c r="AJ35" s="6"/>
    </row>
    <row r="36" spans="1:42" ht="0" hidden="1" customHeight="1" x14ac:dyDescent="0.15">
      <c r="AC36" t="s">
        <v>1748</v>
      </c>
      <c r="AK36" t="s">
        <v>1748</v>
      </c>
    </row>
    <row r="37" spans="1:42" ht="14.25" customHeight="1" x14ac:dyDescent="0.15">
      <c r="V37" s="6"/>
      <c r="W37" s="6"/>
      <c r="X37" s="6"/>
      <c r="Y37" s="6"/>
      <c r="Z37" s="6"/>
      <c r="AA37" s="6"/>
      <c r="AB37" s="6"/>
      <c r="AC37" s="6"/>
      <c r="AD37" s="6"/>
      <c r="AE37" s="6"/>
      <c r="AF37" s="6"/>
      <c r="AG37" s="6"/>
      <c r="AH37" s="6"/>
      <c r="AI37" s="6"/>
      <c r="AJ37" s="6"/>
      <c r="AK37" s="6"/>
    </row>
    <row r="38" spans="1:42" ht="14.25" customHeight="1" x14ac:dyDescent="0.15">
      <c r="S38" s="6" t="s">
        <v>593</v>
      </c>
      <c r="T38" s="6"/>
      <c r="U38" s="6"/>
      <c r="V38" s="6"/>
      <c r="W38" s="6"/>
      <c r="X38" s="6"/>
      <c r="Y38" s="6"/>
      <c r="Z38" s="6"/>
      <c r="AA38" s="6"/>
      <c r="AB38" s="6"/>
      <c r="AC38" s="6"/>
      <c r="AD38" s="6"/>
      <c r="AE38" s="6"/>
      <c r="AF38" s="6"/>
      <c r="AG38" s="6"/>
      <c r="AH38" s="6"/>
      <c r="AI38" s="6"/>
      <c r="AJ38" s="6"/>
      <c r="AK38" s="6"/>
      <c r="AL38" s="6"/>
      <c r="AM38" s="6" t="s">
        <v>594</v>
      </c>
    </row>
    <row r="39" spans="1:42" ht="14.25" customHeight="1" x14ac:dyDescent="0.15">
      <c r="S39" s="6" t="s">
        <v>75</v>
      </c>
      <c r="T39" s="6" t="s">
        <v>1749</v>
      </c>
      <c r="V39" s="6" t="s">
        <v>1750</v>
      </c>
      <c r="W39" s="6"/>
      <c r="X39" s="6"/>
      <c r="Y39" s="6"/>
      <c r="Z39" s="6"/>
      <c r="AA39" s="6"/>
      <c r="AB39" s="6"/>
      <c r="AC39" s="6" t="s">
        <v>1751</v>
      </c>
      <c r="AD39" s="6" t="s">
        <v>1750</v>
      </c>
      <c r="AE39" s="6"/>
      <c r="AF39" s="6"/>
      <c r="AG39" s="6"/>
      <c r="AH39" s="6"/>
      <c r="AI39" s="6"/>
      <c r="AJ39" s="6"/>
      <c r="AK39" s="6" t="s">
        <v>1752</v>
      </c>
      <c r="AL39" s="6" t="s">
        <v>1753</v>
      </c>
      <c r="AM39" s="6"/>
    </row>
    <row r="40" spans="1:42" ht="33.75" customHeight="1" x14ac:dyDescent="0.15">
      <c r="S40" s="6"/>
      <c r="T40" s="6"/>
      <c r="V40" s="6" t="s">
        <v>1754</v>
      </c>
      <c r="W40" s="6" t="s">
        <v>1755</v>
      </c>
      <c r="X40" s="6" t="s">
        <v>1756</v>
      </c>
      <c r="Y40" s="6"/>
      <c r="Z40" s="6" t="s">
        <v>1775</v>
      </c>
      <c r="AA40" s="6"/>
      <c r="AB40" s="6"/>
      <c r="AC40" s="6"/>
      <c r="AD40" s="6" t="s">
        <v>1754</v>
      </c>
      <c r="AE40" s="6" t="s">
        <v>1755</v>
      </c>
      <c r="AF40" s="6" t="s">
        <v>1756</v>
      </c>
      <c r="AG40" s="6"/>
      <c r="AH40" s="6" t="s">
        <v>1757</v>
      </c>
      <c r="AI40" s="6"/>
      <c r="AJ40" s="6"/>
      <c r="AK40" s="6"/>
      <c r="AL40" s="6"/>
      <c r="AM40" s="6"/>
    </row>
    <row r="41" spans="1:42" ht="33.75" customHeight="1" x14ac:dyDescent="0.15">
      <c r="B41" t="s">
        <v>443</v>
      </c>
      <c r="C41" t="s">
        <v>444</v>
      </c>
      <c r="D41" t="s">
        <v>445</v>
      </c>
      <c r="E41" t="s">
        <v>1758</v>
      </c>
      <c r="F41" t="s">
        <v>1759</v>
      </c>
      <c r="G41" t="s">
        <v>1760</v>
      </c>
      <c r="H41" t="s">
        <v>1761</v>
      </c>
      <c r="I41" t="s">
        <v>1762</v>
      </c>
      <c r="J41" t="s">
        <v>1763</v>
      </c>
      <c r="K41" t="s">
        <v>1764</v>
      </c>
      <c r="L41" t="s">
        <v>1739</v>
      </c>
      <c r="S41" s="6"/>
      <c r="T41" s="6"/>
      <c r="V41" s="6"/>
      <c r="W41" s="6"/>
      <c r="X41" t="s">
        <v>1765</v>
      </c>
      <c r="Y41" t="s">
        <v>1766</v>
      </c>
      <c r="Z41" t="s">
        <v>1767</v>
      </c>
      <c r="AA41" s="6" t="s">
        <v>1768</v>
      </c>
      <c r="AB41" s="6"/>
      <c r="AC41" s="6"/>
      <c r="AD41" s="6"/>
      <c r="AE41" s="6"/>
      <c r="AF41" t="s">
        <v>1765</v>
      </c>
      <c r="AG41" t="s">
        <v>1766</v>
      </c>
      <c r="AH41" t="s">
        <v>1767</v>
      </c>
      <c r="AI41" s="6" t="s">
        <v>1768</v>
      </c>
      <c r="AJ41" s="6"/>
      <c r="AK41" s="6"/>
      <c r="AL41" s="6"/>
      <c r="AM41" s="6"/>
    </row>
    <row r="42" spans="1:42" ht="11.25" hidden="1" customHeight="1" x14ac:dyDescent="0.15">
      <c r="R42">
        <v>1</v>
      </c>
      <c r="S42" t="s">
        <v>165</v>
      </c>
      <c r="T42" t="s">
        <v>89</v>
      </c>
      <c r="U42" t="str">
        <f ca="1">OFFSET(U42,0,-1)</f>
        <v>2</v>
      </c>
      <c r="V42">
        <f ca="1">OFFSET(V42,0,-1)+1</f>
        <v>3</v>
      </c>
      <c r="X42">
        <f ca="1">OFFSET(X42,0,-1)+1</f>
        <v>1</v>
      </c>
      <c r="Y42">
        <f ca="1">OFFSET(Y42,0,-1)+1</f>
        <v>2</v>
      </c>
      <c r="Z42">
        <f ca="1">OFFSET(Z42,0,-1)+1</f>
        <v>3</v>
      </c>
      <c r="AA42" s="6">
        <f ca="1">OFFSET(AA42,0,-1)+1</f>
        <v>4</v>
      </c>
      <c r="AB42" s="6"/>
      <c r="AC42">
        <f ca="1">OFFSET(AC42,0,-2)+1</f>
        <v>5</v>
      </c>
      <c r="AD42">
        <f ca="1">OFFSET(AD42,0,-1)+1</f>
        <v>6</v>
      </c>
      <c r="AF42">
        <f ca="1">OFFSET(AF42,0,-1)+1</f>
        <v>1</v>
      </c>
      <c r="AG42">
        <f ca="1">OFFSET(AG42,0,-1)+1</f>
        <v>2</v>
      </c>
      <c r="AH42">
        <f ca="1">OFFSET(AH42,0,-1)+1</f>
        <v>3</v>
      </c>
      <c r="AI42" s="6">
        <f ca="1">OFFSET(AI42,0,-1)+1</f>
        <v>4</v>
      </c>
      <c r="AJ42" s="6"/>
      <c r="AK42">
        <f ca="1">OFFSET(AK42,0,-2)+1</f>
        <v>5</v>
      </c>
      <c r="AL42">
        <f ca="1">OFFSET(AL42,0,-1)</f>
        <v>5</v>
      </c>
      <c r="AM42">
        <f ca="1">OFFSET(AM42,0,-1)+1</f>
        <v>6</v>
      </c>
    </row>
    <row r="43" spans="1:42" ht="21" customHeight="1" x14ac:dyDescent="0.15">
      <c r="A43" t="s">
        <v>466</v>
      </c>
      <c r="E43" s="6">
        <v>1</v>
      </c>
      <c r="S43">
        <f>INDEX(PT_DIFFERENTIATION_NUM_NTAR,MATCH(A43,PT_DIFFERENTIATION_NTAR_ID,0))</f>
        <v>0</v>
      </c>
      <c r="T43" t="s">
        <v>431</v>
      </c>
      <c r="V43" s="6"/>
      <c r="W43" s="6"/>
      <c r="X43" s="6"/>
      <c r="Y43" s="6"/>
      <c r="Z43" s="6"/>
      <c r="AA43" s="6"/>
      <c r="AB43" s="6"/>
      <c r="AC43" s="6"/>
      <c r="AD43" s="6" t="str">
        <f>INDEX(PT_DIFFERENTIATION_NTAR,MATCH(A43,PT_DIFFERENTIATION_NTAR_ID,0))</f>
        <v/>
      </c>
      <c r="AE43" s="6"/>
      <c r="AF43" s="6"/>
      <c r="AG43" s="6"/>
      <c r="AH43" s="6"/>
      <c r="AI43" s="6"/>
      <c r="AJ43" s="6"/>
      <c r="AK43" s="6"/>
      <c r="AL43" s="6"/>
      <c r="AM43" t="s">
        <v>1720</v>
      </c>
      <c r="AP43" t="str">
        <f t="shared" ref="AP43:AP57" si="1">IF(T43="","",T43)</f>
        <v>Наименование тарифа</v>
      </c>
    </row>
    <row r="44" spans="1:42" ht="21" customHeight="1" x14ac:dyDescent="0.15">
      <c r="A44" t="s">
        <v>466</v>
      </c>
      <c r="B44" t="s">
        <v>467</v>
      </c>
      <c r="E44" s="6"/>
      <c r="F44" s="6">
        <v>1</v>
      </c>
      <c r="S44" t="str">
        <f>INDEX(PT_DIFFERENTIATION_NUM_TER,MATCH(B44,PT_DIFFERENTIATION_TER_ID,0))</f>
        <v>.</v>
      </c>
      <c r="T44" t="s">
        <v>1721</v>
      </c>
      <c r="V44" s="6"/>
      <c r="W44" s="6"/>
      <c r="X44" s="6"/>
      <c r="Y44" s="6"/>
      <c r="Z44" s="6"/>
      <c r="AA44" s="6"/>
      <c r="AB44" s="6"/>
      <c r="AC44" s="6"/>
      <c r="AD44" s="6" t="str">
        <f>INDEX(PT_DIFFERENTIATION_TER,MATCH(B44,PT_DIFFERENTIATION_TER_ID,0))</f>
        <v/>
      </c>
      <c r="AE44" s="6"/>
      <c r="AF44" s="6"/>
      <c r="AG44" s="6"/>
      <c r="AH44" s="6"/>
      <c r="AI44" s="6"/>
      <c r="AJ44" s="6"/>
      <c r="AK44" s="6"/>
      <c r="AL44" s="6"/>
      <c r="AM44" t="s">
        <v>1722</v>
      </c>
      <c r="AP44" t="str">
        <f t="shared" si="1"/>
        <v>Территория действия тарифа</v>
      </c>
    </row>
    <row r="45" spans="1:42" ht="23.25" customHeight="1" x14ac:dyDescent="0.15">
      <c r="A45" t="s">
        <v>466</v>
      </c>
      <c r="B45" t="s">
        <v>467</v>
      </c>
      <c r="C45" t="s">
        <v>468</v>
      </c>
      <c r="E45" s="6"/>
      <c r="F45" s="6"/>
      <c r="G45" s="6">
        <v>1</v>
      </c>
      <c r="S45" t="str">
        <f>INDEX(PT_DIFFERENTIATION_NUM_CS,MATCH(C45,PT_DIFFERENTIATION_CS_ID,0))</f>
        <v>..</v>
      </c>
      <c r="T45" t="s">
        <v>1723</v>
      </c>
      <c r="V45" s="6"/>
      <c r="W45" s="6"/>
      <c r="X45" s="6"/>
      <c r="Y45" s="6"/>
      <c r="Z45" s="6"/>
      <c r="AA45" s="6"/>
      <c r="AB45" s="6"/>
      <c r="AC45" s="6"/>
      <c r="AD45" s="6" t="str">
        <f>INDEX(PT_DIFFERENTIATION_CS,MATCH(C45,PT_DIFFERENTIATION_CS_ID,0))</f>
        <v/>
      </c>
      <c r="AE45" s="6"/>
      <c r="AF45" s="6"/>
      <c r="AG45" s="6"/>
      <c r="AH45" s="6"/>
      <c r="AI45" s="6"/>
      <c r="AJ45" s="6"/>
      <c r="AK45" s="6"/>
      <c r="AL45" s="6"/>
      <c r="AM45" t="s">
        <v>1724</v>
      </c>
      <c r="AP45" t="str">
        <f t="shared" si="1"/>
        <v xml:space="preserve">Наименование системы теплоснабжения </v>
      </c>
    </row>
    <row r="46" spans="1:42" ht="21" customHeight="1" x14ac:dyDescent="0.15">
      <c r="A46" t="s">
        <v>466</v>
      </c>
      <c r="B46" t="s">
        <v>467</v>
      </c>
      <c r="C46" t="s">
        <v>468</v>
      </c>
      <c r="D46" t="s">
        <v>469</v>
      </c>
      <c r="E46" s="6"/>
      <c r="F46" s="6"/>
      <c r="G46" s="6"/>
      <c r="H46" s="6">
        <v>1</v>
      </c>
      <c r="S46" t="str">
        <f>INDEX(PT_DIFFERENTIATION_NUM_IST_TE,MATCH(D46,PT_DIFFERENTIATION_IST_TE_ID,0))</f>
        <v>...</v>
      </c>
      <c r="T46" t="s">
        <v>1725</v>
      </c>
      <c r="V46" s="6"/>
      <c r="W46" s="6"/>
      <c r="X46" s="6"/>
      <c r="Y46" s="6"/>
      <c r="Z46" s="6"/>
      <c r="AA46" s="6"/>
      <c r="AB46" s="6"/>
      <c r="AC46" s="6"/>
      <c r="AD46" s="6" t="str">
        <f>INDEX(PT_DIFFERENTIATION_IST_TE,MATCH(D46,PT_DIFFERENTIATION_IST_TE_ID,0))</f>
        <v/>
      </c>
      <c r="AE46" s="6"/>
      <c r="AF46" s="6"/>
      <c r="AG46" s="6"/>
      <c r="AH46" s="6"/>
      <c r="AI46" s="6"/>
      <c r="AJ46" s="6"/>
      <c r="AK46" s="6"/>
      <c r="AL46" s="6"/>
      <c r="AM46" t="s">
        <v>1726</v>
      </c>
      <c r="AP46" t="str">
        <f t="shared" si="1"/>
        <v xml:space="preserve">Источник тепловой энергии  </v>
      </c>
    </row>
    <row r="47" spans="1:42" ht="47.25" customHeight="1" x14ac:dyDescent="0.15">
      <c r="A47" t="s">
        <v>466</v>
      </c>
      <c r="B47" t="s">
        <v>467</v>
      </c>
      <c r="C47" t="s">
        <v>468</v>
      </c>
      <c r="D47" t="s">
        <v>469</v>
      </c>
      <c r="E47" s="6"/>
      <c r="F47" s="6"/>
      <c r="G47" s="6"/>
      <c r="H47" s="6"/>
      <c r="I47" s="6" t="str">
        <f>S46&amp;".1"</f>
        <v>....1</v>
      </c>
      <c r="L47" t="s">
        <v>1727</v>
      </c>
      <c r="P47" s="6">
        <v>1</v>
      </c>
      <c r="S47" t="str">
        <f>$I47</f>
        <v>....1</v>
      </c>
      <c r="T47" t="s">
        <v>1728</v>
      </c>
      <c r="V47" s="6"/>
      <c r="W47" s="6"/>
      <c r="X47" s="6"/>
      <c r="Y47" s="6"/>
      <c r="Z47" s="6"/>
      <c r="AA47" s="6"/>
      <c r="AB47" s="6"/>
      <c r="AC47" s="6"/>
      <c r="AD47" s="6"/>
      <c r="AE47" s="6"/>
      <c r="AF47" s="6"/>
      <c r="AG47" s="6"/>
      <c r="AH47" s="6"/>
      <c r="AI47" s="6"/>
      <c r="AJ47" s="6"/>
      <c r="AK47" s="6"/>
      <c r="AL47" s="6"/>
      <c r="AM47" t="s">
        <v>1729</v>
      </c>
      <c r="AP47" t="str">
        <f t="shared" si="1"/>
        <v>Схема подключения теплопотребляющей установки к коллектору источника тепловой энергии</v>
      </c>
    </row>
    <row r="48" spans="1:42" ht="21" customHeight="1" x14ac:dyDescent="0.15">
      <c r="A48" t="s">
        <v>466</v>
      </c>
      <c r="B48" t="s">
        <v>467</v>
      </c>
      <c r="C48" t="s">
        <v>468</v>
      </c>
      <c r="D48" t="s">
        <v>469</v>
      </c>
      <c r="E48" s="6"/>
      <c r="F48" s="6"/>
      <c r="G48" s="6"/>
      <c r="H48" s="6"/>
      <c r="I48" s="6"/>
      <c r="J48" s="6" t="str">
        <f>I47&amp;".1"</f>
        <v>....1.1</v>
      </c>
      <c r="L48" t="s">
        <v>1730</v>
      </c>
      <c r="P48" s="6"/>
      <c r="Q48" s="6">
        <v>1</v>
      </c>
      <c r="S48" t="str">
        <f>$J48</f>
        <v>....1.1</v>
      </c>
      <c r="T48" t="s">
        <v>1731</v>
      </c>
      <c r="V48" s="6"/>
      <c r="W48" s="6"/>
      <c r="X48" s="6"/>
      <c r="Y48" s="6"/>
      <c r="Z48" s="6"/>
      <c r="AA48" s="6"/>
      <c r="AB48" s="6"/>
      <c r="AC48" s="6"/>
      <c r="AD48" s="6"/>
      <c r="AE48" s="6"/>
      <c r="AF48" s="6"/>
      <c r="AG48" s="6"/>
      <c r="AH48" s="6"/>
      <c r="AI48" s="6"/>
      <c r="AJ48" s="6"/>
      <c r="AK48" s="6"/>
      <c r="AL48" s="6"/>
      <c r="AM48" t="s">
        <v>1732</v>
      </c>
      <c r="AP48" t="str">
        <f t="shared" si="1"/>
        <v>Группа потребителей</v>
      </c>
    </row>
    <row r="49" spans="1:42" ht="21" customHeight="1" x14ac:dyDescent="0.15">
      <c r="A49" t="s">
        <v>466</v>
      </c>
      <c r="B49" t="s">
        <v>467</v>
      </c>
      <c r="C49" t="s">
        <v>468</v>
      </c>
      <c r="D49" t="s">
        <v>469</v>
      </c>
      <c r="E49" s="6"/>
      <c r="F49" s="6"/>
      <c r="G49" s="6"/>
      <c r="H49" s="6"/>
      <c r="I49" s="6"/>
      <c r="J49" s="6"/>
      <c r="K49" s="6" t="str">
        <f>J48&amp;".1"</f>
        <v>....1.1.1</v>
      </c>
      <c r="L49" t="s">
        <v>1733</v>
      </c>
      <c r="P49" s="6"/>
      <c r="Q49" s="6"/>
      <c r="R49">
        <v>1</v>
      </c>
      <c r="S49" t="str">
        <f>$K49</f>
        <v>....1.1.1</v>
      </c>
      <c r="Z49" s="6"/>
      <c r="AA49" s="6" t="s">
        <v>50</v>
      </c>
      <c r="AB49" s="6"/>
      <c r="AC49" s="6" t="s">
        <v>50</v>
      </c>
      <c r="AH49" s="6"/>
      <c r="AI49" s="6" t="s">
        <v>50</v>
      </c>
      <c r="AJ49" s="6"/>
      <c r="AK49" s="6" t="s">
        <v>50</v>
      </c>
      <c r="AM49" s="6" t="s">
        <v>1734</v>
      </c>
      <c r="AN49" t="e">
        <f ca="1">STRCHECKDATE(V50:AL50)</f>
        <v>#NAME?</v>
      </c>
      <c r="AP49" t="str">
        <f t="shared" si="1"/>
        <v/>
      </c>
    </row>
    <row r="50" spans="1:42" ht="0.75" customHeight="1" x14ac:dyDescent="0.15">
      <c r="A50" t="s">
        <v>466</v>
      </c>
      <c r="B50" t="s">
        <v>467</v>
      </c>
      <c r="C50" t="s">
        <v>468</v>
      </c>
      <c r="D50" t="s">
        <v>469</v>
      </c>
      <c r="E50" s="6"/>
      <c r="F50" s="6"/>
      <c r="G50" s="6"/>
      <c r="H50" s="6"/>
      <c r="I50" s="6"/>
      <c r="J50" s="6"/>
      <c r="K50" s="6"/>
      <c r="P50" s="6"/>
      <c r="Q50" s="6"/>
      <c r="Y50" t="str">
        <f>Z49&amp;"-"&amp;AB49</f>
        <v>-</v>
      </c>
      <c r="Z50" s="6"/>
      <c r="AA50" s="6"/>
      <c r="AB50" s="6"/>
      <c r="AC50" s="6"/>
      <c r="AG50" t="str">
        <f>AH49&amp;"-"&amp;AJ49</f>
        <v>-</v>
      </c>
      <c r="AH50" s="6"/>
      <c r="AI50" s="6"/>
      <c r="AJ50" s="6"/>
      <c r="AK50" s="6"/>
      <c r="AM50" s="6"/>
      <c r="AP50" t="str">
        <f t="shared" si="1"/>
        <v/>
      </c>
    </row>
    <row r="51" spans="1:42" ht="11.25" customHeight="1" x14ac:dyDescent="0.15">
      <c r="A51" t="s">
        <v>466</v>
      </c>
      <c r="B51" t="s">
        <v>467</v>
      </c>
      <c r="C51" t="s">
        <v>468</v>
      </c>
      <c r="D51" t="s">
        <v>469</v>
      </c>
      <c r="E51" s="6"/>
      <c r="F51" s="6"/>
      <c r="G51" s="6"/>
      <c r="H51" s="6"/>
      <c r="I51" s="6"/>
      <c r="J51" s="6"/>
      <c r="P51" s="6"/>
      <c r="Q51" s="6"/>
      <c r="T51" t="s">
        <v>1735</v>
      </c>
      <c r="AM51" s="6"/>
      <c r="AP51" t="str">
        <f t="shared" si="1"/>
        <v>Добавить вид теплоносителя (параметры теплоносителя)</v>
      </c>
    </row>
    <row r="52" spans="1:42" ht="11.25" customHeight="1" x14ac:dyDescent="0.15">
      <c r="A52" t="s">
        <v>466</v>
      </c>
      <c r="B52" t="s">
        <v>467</v>
      </c>
      <c r="C52" t="s">
        <v>468</v>
      </c>
      <c r="D52" t="s">
        <v>469</v>
      </c>
      <c r="E52" s="6"/>
      <c r="F52" s="6"/>
      <c r="G52" s="6"/>
      <c r="H52" s="6"/>
      <c r="I52" s="6"/>
      <c r="P52" s="6"/>
      <c r="T52" t="s">
        <v>1736</v>
      </c>
      <c r="AP52" t="str">
        <f t="shared" si="1"/>
        <v>Добавить группу потребителей</v>
      </c>
    </row>
    <row r="53" spans="1:42" ht="14.25" customHeight="1" x14ac:dyDescent="0.15">
      <c r="A53" t="s">
        <v>466</v>
      </c>
      <c r="B53" t="s">
        <v>467</v>
      </c>
      <c r="C53" t="s">
        <v>468</v>
      </c>
      <c r="D53" t="s">
        <v>469</v>
      </c>
      <c r="E53" s="6"/>
      <c r="F53" s="6"/>
      <c r="G53" s="6"/>
      <c r="H53" s="6"/>
      <c r="T53" t="s">
        <v>1737</v>
      </c>
      <c r="AP53" t="str">
        <f t="shared" si="1"/>
        <v>Добавить схему подключения</v>
      </c>
    </row>
    <row r="54" spans="1:42" ht="0.75" customHeight="1" x14ac:dyDescent="0.15">
      <c r="A54" t="s">
        <v>466</v>
      </c>
      <c r="B54" t="s">
        <v>467</v>
      </c>
      <c r="C54" t="s">
        <v>468</v>
      </c>
      <c r="E54" s="6"/>
      <c r="F54" s="6"/>
      <c r="G54" s="6"/>
      <c r="T54" t="s">
        <v>1696</v>
      </c>
      <c r="AP54" t="str">
        <f t="shared" si="1"/>
        <v>Добавить источник для дифференциации</v>
      </c>
    </row>
    <row r="55" spans="1:42" ht="0.75" customHeight="1" x14ac:dyDescent="0.15">
      <c r="A55" t="s">
        <v>466</v>
      </c>
      <c r="B55" t="s">
        <v>467</v>
      </c>
      <c r="E55" s="6"/>
      <c r="F55" s="6"/>
      <c r="T55" t="s">
        <v>1697</v>
      </c>
      <c r="AP55" t="str">
        <f t="shared" si="1"/>
        <v>Добавить централизованную систему для дифференциации</v>
      </c>
    </row>
    <row r="56" spans="1:42" ht="0.75" customHeight="1" x14ac:dyDescent="0.15">
      <c r="A56" t="s">
        <v>466</v>
      </c>
      <c r="E56" s="6"/>
      <c r="T56" t="s">
        <v>1698</v>
      </c>
      <c r="AP56" t="str">
        <f t="shared" si="1"/>
        <v>Добавить территорию для дифференциации</v>
      </c>
    </row>
    <row r="57" spans="1:42" ht="0.75" customHeight="1" x14ac:dyDescent="0.15">
      <c r="T57" t="s">
        <v>1699</v>
      </c>
      <c r="AP57" t="str">
        <f t="shared" si="1"/>
        <v>Добавить наименование тарифа</v>
      </c>
    </row>
    <row r="58" spans="1:42" ht="11.25" hidden="1" customHeight="1" x14ac:dyDescent="0.15"/>
    <row r="59" spans="1:42" ht="27" hidden="1" customHeight="1" x14ac:dyDescent="0.15">
      <c r="S59" t="s">
        <v>1769</v>
      </c>
      <c r="T59" s="6" t="s">
        <v>1776</v>
      </c>
      <c r="U59" s="6"/>
      <c r="V59" s="6"/>
      <c r="W59" s="6"/>
      <c r="X59" s="6"/>
      <c r="Y59" s="6"/>
      <c r="Z59" s="6"/>
      <c r="AA59" s="6"/>
      <c r="AB59" s="6"/>
      <c r="AC59" s="6"/>
      <c r="AD59" s="6"/>
      <c r="AE59" s="6"/>
      <c r="AF59" s="6"/>
      <c r="AG59" s="6"/>
      <c r="AH59" s="6"/>
      <c r="AI59" s="6"/>
      <c r="AJ59" s="6"/>
      <c r="AK59" s="6"/>
      <c r="AL59" s="6"/>
      <c r="AM59" s="6"/>
    </row>
    <row r="60" spans="1:42" ht="62.25" hidden="1" customHeight="1" x14ac:dyDescent="0.15">
      <c r="T60" s="6" t="s">
        <v>1771</v>
      </c>
      <c r="U60" s="6"/>
      <c r="V60" s="6"/>
      <c r="W60" s="6"/>
      <c r="X60" s="6"/>
      <c r="Y60" s="6"/>
      <c r="Z60" s="6"/>
      <c r="AA60" s="6"/>
      <c r="AB60" s="6"/>
      <c r="AC60" s="6"/>
      <c r="AD60" s="6"/>
      <c r="AE60" s="6"/>
      <c r="AF60" s="6"/>
      <c r="AG60" s="6"/>
      <c r="AH60" s="6"/>
      <c r="AI60" s="6"/>
      <c r="AJ60" s="6"/>
      <c r="AK60" s="6"/>
      <c r="AL60" s="6"/>
      <c r="AM60" s="6"/>
    </row>
    <row r="61" spans="1:42" ht="14.25" hidden="1" customHeight="1" x14ac:dyDescent="0.15"/>
    <row r="62" spans="1:42" ht="18" hidden="1" customHeight="1" x14ac:dyDescent="0.15">
      <c r="S62" t="s">
        <v>1769</v>
      </c>
      <c r="T62" s="6" t="s">
        <v>1772</v>
      </c>
      <c r="U62" s="6"/>
      <c r="V62" s="6"/>
      <c r="W62" s="6"/>
      <c r="X62" s="6"/>
      <c r="Y62" s="6"/>
      <c r="Z62" s="6"/>
      <c r="AA62" s="6"/>
      <c r="AB62" s="6"/>
      <c r="AC62" s="6"/>
      <c r="AD62" s="6"/>
      <c r="AE62" s="6"/>
      <c r="AF62" s="6"/>
      <c r="AG62" s="6"/>
      <c r="AH62" s="6"/>
      <c r="AI62" s="6"/>
      <c r="AJ62" s="6"/>
      <c r="AK62" s="6"/>
      <c r="AL62" s="6"/>
      <c r="AM62" s="6"/>
    </row>
    <row r="63" spans="1:42" ht="18" hidden="1" customHeight="1" x14ac:dyDescent="0.15">
      <c r="T63" s="6" t="s">
        <v>1773</v>
      </c>
      <c r="U63" s="6"/>
      <c r="V63" s="6"/>
      <c r="W63" s="6"/>
      <c r="X63" s="6"/>
      <c r="Y63" s="6"/>
      <c r="Z63" s="6"/>
      <c r="AA63" s="6"/>
      <c r="AB63" s="6"/>
      <c r="AC63" s="6"/>
      <c r="AD63" s="6"/>
      <c r="AE63" s="6"/>
      <c r="AF63" s="6"/>
      <c r="AG63" s="6"/>
      <c r="AH63" s="6"/>
      <c r="AI63" s="6"/>
      <c r="AJ63" s="6"/>
      <c r="AK63" s="6"/>
      <c r="AL63" s="6"/>
      <c r="AM63" s="6"/>
    </row>
    <row r="64" spans="1:42" ht="27.75" hidden="1" customHeight="1" x14ac:dyDescent="0.15">
      <c r="T64" s="6" t="s">
        <v>1774</v>
      </c>
      <c r="U64" s="6"/>
      <c r="V64" s="6"/>
      <c r="W64" s="6"/>
      <c r="X64" s="6"/>
      <c r="Y64" s="6"/>
      <c r="Z64" s="6"/>
      <c r="AA64" s="6"/>
      <c r="AB64" s="6"/>
      <c r="AC64" s="6"/>
      <c r="AD64" s="6"/>
      <c r="AE64" s="6"/>
      <c r="AF64" s="6"/>
      <c r="AG64" s="6"/>
      <c r="AH64" s="6"/>
      <c r="AI64" s="6"/>
      <c r="AJ64" s="6"/>
      <c r="AK64" s="6"/>
      <c r="AL64" s="6"/>
      <c r="AM64" s="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4"/>
  <sheetViews>
    <sheetView showGridLines="0" topLeftCell="P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2" customWidth="1"/>
    <col min="21" max="22" width="0.140625" customWidth="1"/>
    <col min="23" max="23" width="24.7109375" hidden="1" customWidth="1"/>
    <col min="24" max="25" width="0.140625" hidden="1" customWidth="1"/>
    <col min="26" max="26" width="11.7109375" hidden="1" customWidth="1"/>
    <col min="27" max="27" width="3.7109375" hidden="1" customWidth="1"/>
    <col min="28" max="28" width="11.7109375" hidden="1" customWidth="1"/>
    <col min="29" max="29" width="8.5703125" hidden="1" customWidth="1"/>
    <col min="30" max="30" width="0.140625" customWidth="1"/>
    <col min="31" max="31" width="24.7109375" customWidth="1"/>
    <col min="32" max="33" width="0.14062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x14ac:dyDescent="0.15"/>
    <row r="2" spans="5:42"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t="s">
        <v>1720</v>
      </c>
      <c r="AP2" t="str">
        <f t="shared" ref="AP2:AP15" si="0">IF(T2="","",T2)</f>
        <v>Наименование тарифа</v>
      </c>
    </row>
    <row r="3" spans="5:42"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t="s">
        <v>1722</v>
      </c>
      <c r="AP3" t="str">
        <f t="shared" si="0"/>
        <v>Территория действия тарифа</v>
      </c>
    </row>
    <row r="4" spans="5:42" ht="23.25" hidden="1" customHeight="1" x14ac:dyDescent="0.15">
      <c r="E4" s="6"/>
      <c r="F4" s="6"/>
      <c r="G4" s="6">
        <v>1</v>
      </c>
      <c r="S4" t="e">
        <f>INDEX(PT_DIFFERENTIATION_NUM_CS,MATCH(C4,PT_DIFFERENTIATION_CS_ID,0))</f>
        <v>#N/A</v>
      </c>
      <c r="T4" t="s">
        <v>1723</v>
      </c>
      <c r="V4" s="6"/>
      <c r="W4" s="6"/>
      <c r="X4" s="6"/>
      <c r="Y4" s="6"/>
      <c r="Z4" s="6"/>
      <c r="AA4" s="6"/>
      <c r="AB4" s="6"/>
      <c r="AC4" s="6"/>
      <c r="AD4" s="6" t="e">
        <f>INDEX(PT_DIFFERENTIATION_CS,MATCH(C4,PT_DIFFERENTIATION_CS_ID,0))</f>
        <v>#N/A</v>
      </c>
      <c r="AE4" s="6"/>
      <c r="AF4" s="6"/>
      <c r="AG4" s="6"/>
      <c r="AH4" s="6"/>
      <c r="AI4" s="6"/>
      <c r="AJ4" s="6"/>
      <c r="AK4" s="6"/>
      <c r="AL4" s="6"/>
      <c r="AM4" t="s">
        <v>1724</v>
      </c>
      <c r="AP4" t="str">
        <f t="shared" si="0"/>
        <v xml:space="preserve">Наименование системы теплоснабжения </v>
      </c>
    </row>
    <row r="5" spans="5:42" ht="21" hidden="1" customHeight="1" x14ac:dyDescent="0.15">
      <c r="E5" s="6"/>
      <c r="F5" s="6"/>
      <c r="G5" s="6"/>
      <c r="H5" s="6">
        <v>1</v>
      </c>
      <c r="S5" t="e">
        <f>INDEX(PT_DIFFERENTIATION_NUM_IST_TE,MATCH(D5,PT_DIFFERENTIATION_IST_TE_ID,0))</f>
        <v>#N/A</v>
      </c>
      <c r="T5" t="s">
        <v>1725</v>
      </c>
      <c r="V5" s="6"/>
      <c r="W5" s="6"/>
      <c r="X5" s="6"/>
      <c r="Y5" s="6"/>
      <c r="Z5" s="6"/>
      <c r="AA5" s="6"/>
      <c r="AB5" s="6"/>
      <c r="AC5" s="6"/>
      <c r="AD5" s="6" t="e">
        <f>INDEX(PT_DIFFERENTIATION_IST_TE,MATCH(D5,PT_DIFFERENTIATION_IST_TE_ID,0))</f>
        <v>#N/A</v>
      </c>
      <c r="AE5" s="6"/>
      <c r="AF5" s="6"/>
      <c r="AG5" s="6"/>
      <c r="AH5" s="6"/>
      <c r="AI5" s="6"/>
      <c r="AJ5" s="6"/>
      <c r="AK5" s="6"/>
      <c r="AL5" s="6"/>
      <c r="AM5" t="s">
        <v>1726</v>
      </c>
      <c r="AP5" t="str">
        <f t="shared" si="0"/>
        <v xml:space="preserve">Источник тепловой энергии  </v>
      </c>
    </row>
    <row r="6" spans="5:42" ht="47.25" hidden="1" customHeight="1" x14ac:dyDescent="0.15">
      <c r="E6" s="6"/>
      <c r="F6" s="6"/>
      <c r="G6" s="6"/>
      <c r="H6" s="6"/>
      <c r="I6" s="6" t="e">
        <f>S5&amp;".1"</f>
        <v>#N/A</v>
      </c>
      <c r="L6" t="s">
        <v>1727</v>
      </c>
      <c r="P6" s="6">
        <v>1</v>
      </c>
      <c r="S6" t="e">
        <f>$I6</f>
        <v>#N/A</v>
      </c>
      <c r="T6" t="s">
        <v>1728</v>
      </c>
      <c r="V6" s="6"/>
      <c r="W6" s="6"/>
      <c r="X6" s="6"/>
      <c r="Y6" s="6"/>
      <c r="Z6" s="6"/>
      <c r="AA6" s="6"/>
      <c r="AB6" s="6"/>
      <c r="AC6" s="6"/>
      <c r="AD6" s="6"/>
      <c r="AE6" s="6"/>
      <c r="AF6" s="6"/>
      <c r="AG6" s="6"/>
      <c r="AH6" s="6"/>
      <c r="AI6" s="6"/>
      <c r="AJ6" s="6"/>
      <c r="AK6" s="6"/>
      <c r="AL6" s="6"/>
      <c r="AM6" t="s">
        <v>1729</v>
      </c>
      <c r="AP6" t="str">
        <f t="shared" si="0"/>
        <v>Схема подключения теплопотребляющей установки к коллектору источника тепловой энергии</v>
      </c>
    </row>
    <row r="7" spans="5:42" ht="21" hidden="1" customHeight="1" x14ac:dyDescent="0.15">
      <c r="E7" s="6"/>
      <c r="F7" s="6"/>
      <c r="G7" s="6"/>
      <c r="H7" s="6"/>
      <c r="I7" s="6"/>
      <c r="J7" s="6" t="e">
        <f>I6&amp;".1"</f>
        <v>#N/A</v>
      </c>
      <c r="L7" t="s">
        <v>1730</v>
      </c>
      <c r="P7" s="6"/>
      <c r="Q7" s="6">
        <v>1</v>
      </c>
      <c r="S7" t="e">
        <f>$J7</f>
        <v>#N/A</v>
      </c>
      <c r="T7" t="s">
        <v>1731</v>
      </c>
      <c r="V7" s="6"/>
      <c r="W7" s="6"/>
      <c r="X7" s="6"/>
      <c r="Y7" s="6"/>
      <c r="Z7" s="6"/>
      <c r="AA7" s="6"/>
      <c r="AB7" s="6"/>
      <c r="AC7" s="6"/>
      <c r="AD7" s="6"/>
      <c r="AE7" s="6"/>
      <c r="AF7" s="6"/>
      <c r="AG7" s="6"/>
      <c r="AH7" s="6"/>
      <c r="AI7" s="6"/>
      <c r="AJ7" s="6"/>
      <c r="AK7" s="6"/>
      <c r="AL7" s="6"/>
      <c r="AM7" t="s">
        <v>1732</v>
      </c>
      <c r="AP7" t="str">
        <f t="shared" si="0"/>
        <v>Группа потребителей</v>
      </c>
    </row>
    <row r="8" spans="5:42" ht="21" hidden="1" customHeight="1" x14ac:dyDescent="0.15">
      <c r="E8" s="6"/>
      <c r="F8" s="6"/>
      <c r="G8" s="6"/>
      <c r="H8" s="6"/>
      <c r="I8" s="6"/>
      <c r="J8" s="6"/>
      <c r="K8" s="6" t="e">
        <f>J7&amp;".1"</f>
        <v>#N/A</v>
      </c>
      <c r="L8" t="s">
        <v>1733</v>
      </c>
      <c r="P8" s="6"/>
      <c r="Q8" s="6"/>
      <c r="R8">
        <v>1</v>
      </c>
      <c r="S8" t="e">
        <f>$K8</f>
        <v>#N/A</v>
      </c>
      <c r="Z8" s="6"/>
      <c r="AA8" s="6" t="s">
        <v>50</v>
      </c>
      <c r="AB8" s="6"/>
      <c r="AC8" s="6" t="s">
        <v>50</v>
      </c>
      <c r="AH8" s="6"/>
      <c r="AI8" s="6" t="s">
        <v>50</v>
      </c>
      <c r="AJ8" s="6"/>
      <c r="AK8" s="6" t="s">
        <v>50</v>
      </c>
      <c r="AM8" s="6" t="s">
        <v>1734</v>
      </c>
      <c r="AN8" t="e">
        <f ca="1">STRCHECKDATE(V9:AL9)</f>
        <v>#NAME?</v>
      </c>
      <c r="AP8" t="str">
        <f t="shared" si="0"/>
        <v/>
      </c>
    </row>
    <row r="9" spans="5:42" ht="0.75" hidden="1" customHeight="1" x14ac:dyDescent="0.15">
      <c r="E9" s="6"/>
      <c r="F9" s="6"/>
      <c r="G9" s="6"/>
      <c r="H9" s="6"/>
      <c r="I9" s="6"/>
      <c r="J9" s="6"/>
      <c r="K9" s="6"/>
      <c r="P9" s="6"/>
      <c r="Q9" s="6"/>
      <c r="Y9" t="str">
        <f>Z8&amp;"-"&amp;AB8</f>
        <v>-</v>
      </c>
      <c r="Z9" s="6"/>
      <c r="AA9" s="6"/>
      <c r="AB9" s="6"/>
      <c r="AC9" s="6"/>
      <c r="AG9" t="str">
        <f>AH8&amp;"-"&amp;AJ8</f>
        <v>-</v>
      </c>
      <c r="AH9" s="6"/>
      <c r="AI9" s="6"/>
      <c r="AJ9" s="6"/>
      <c r="AK9" s="6"/>
      <c r="AM9" s="6"/>
      <c r="AP9" t="str">
        <f t="shared" si="0"/>
        <v/>
      </c>
    </row>
    <row r="10" spans="5:42" ht="15" hidden="1" customHeight="1" x14ac:dyDescent="0.15">
      <c r="E10" s="6"/>
      <c r="F10" s="6"/>
      <c r="G10" s="6"/>
      <c r="H10" s="6"/>
      <c r="I10" s="6"/>
      <c r="J10" s="6"/>
      <c r="P10" s="6"/>
      <c r="Q10" s="6"/>
      <c r="T10" t="s">
        <v>1735</v>
      </c>
      <c r="AM10" s="6"/>
      <c r="AP10" t="str">
        <f t="shared" si="0"/>
        <v>Добавить вид теплоносителя (параметры теплоносителя)</v>
      </c>
    </row>
    <row r="11" spans="5:42" ht="15" hidden="1" customHeight="1" x14ac:dyDescent="0.15">
      <c r="E11" s="6"/>
      <c r="F11" s="6"/>
      <c r="G11" s="6"/>
      <c r="H11" s="6"/>
      <c r="I11" s="6"/>
      <c r="P11" s="6"/>
      <c r="T11" t="s">
        <v>1736</v>
      </c>
      <c r="AP11" t="str">
        <f t="shared" si="0"/>
        <v>Добавить группу потребителей</v>
      </c>
    </row>
    <row r="12" spans="5:42" ht="14.25" hidden="1" customHeight="1" x14ac:dyDescent="0.15">
      <c r="E12" s="6"/>
      <c r="F12" s="6"/>
      <c r="G12" s="6"/>
      <c r="H12" s="6"/>
      <c r="T12" t="s">
        <v>1737</v>
      </c>
      <c r="AP12" t="str">
        <f t="shared" si="0"/>
        <v>Добавить схему подключения</v>
      </c>
    </row>
    <row r="13" spans="5:42" ht="0.75" hidden="1" customHeight="1" x14ac:dyDescent="0.15">
      <c r="E13" s="6"/>
      <c r="F13" s="6"/>
      <c r="G13" s="6"/>
      <c r="T13" t="s">
        <v>1696</v>
      </c>
      <c r="AP13" t="str">
        <f t="shared" si="0"/>
        <v>Добавить источник для дифференциации</v>
      </c>
    </row>
    <row r="14" spans="5:42" ht="0.75" hidden="1" customHeight="1" x14ac:dyDescent="0.15">
      <c r="E14" s="6"/>
      <c r="F14" s="6"/>
      <c r="T14" t="s">
        <v>1697</v>
      </c>
      <c r="AP14" t="str">
        <f t="shared" si="0"/>
        <v>Добавить централизованную систему для дифференциации</v>
      </c>
    </row>
    <row r="15" spans="5:42" ht="0.75" hidden="1" customHeight="1" x14ac:dyDescent="0.15">
      <c r="E15" s="6"/>
      <c r="T15" t="s">
        <v>1698</v>
      </c>
      <c r="AP15" t="str">
        <f t="shared" si="0"/>
        <v>Добавить территорию для дифференциации</v>
      </c>
    </row>
    <row r="16" spans="5:42" ht="14.25" hidden="1" customHeight="1" x14ac:dyDescent="0.15"/>
    <row r="17" spans="15:37" ht="14.25" hidden="1" customHeight="1" x14ac:dyDescent="0.15">
      <c r="AH17" s="6"/>
      <c r="AI17" s="6" t="s">
        <v>50</v>
      </c>
      <c r="AJ17" s="6"/>
      <c r="AK17" s="6" t="s">
        <v>50</v>
      </c>
    </row>
    <row r="18" spans="15:37" ht="14.25" hidden="1" customHeight="1" x14ac:dyDescent="0.15">
      <c r="AG18" t="str">
        <f>AH17&amp;"-"&amp;AJ17</f>
        <v>-</v>
      </c>
      <c r="AH18" s="6"/>
      <c r="AI18" s="6"/>
      <c r="AJ18" s="6"/>
      <c r="AK18" s="6"/>
    </row>
    <row r="19" spans="15:37" ht="14.25" hidden="1" customHeight="1" x14ac:dyDescent="0.15"/>
    <row r="20" spans="15:37" ht="22.5" hidden="1" customHeight="1" x14ac:dyDescent="0.15">
      <c r="O20" t="s">
        <v>1738</v>
      </c>
    </row>
    <row r="21" spans="15:37" ht="14.25" hidden="1" customHeight="1" x14ac:dyDescent="0.15"/>
    <row r="22" spans="15:37" ht="33.75" hidden="1" customHeight="1" x14ac:dyDescent="0.15">
      <c r="O22" t="s">
        <v>1739</v>
      </c>
      <c r="T22" t="s">
        <v>1740</v>
      </c>
      <c r="AA22" t="s">
        <v>1741</v>
      </c>
      <c r="AC22" t="s">
        <v>1742</v>
      </c>
      <c r="AD22" t="s">
        <v>1740</v>
      </c>
      <c r="AI22" t="s">
        <v>1743</v>
      </c>
      <c r="AK22" t="s">
        <v>1742</v>
      </c>
    </row>
    <row r="23" spans="15:37" ht="14.25" hidden="1" customHeight="1" x14ac:dyDescent="0.15"/>
    <row r="24" spans="15:37" ht="14.25" hidden="1" customHeight="1" x14ac:dyDescent="0.15"/>
    <row r="26" spans="15:37" ht="88.5" customHeight="1" x14ac:dyDescent="0.15">
      <c r="S26" s="6"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6"/>
      <c r="U26" s="6"/>
      <c r="V26" s="6"/>
      <c r="W26" s="6"/>
      <c r="X26" s="6"/>
      <c r="Y26" s="6"/>
      <c r="Z26" s="6"/>
      <c r="AA26" s="6"/>
      <c r="AB26" s="6"/>
      <c r="AC26" s="6"/>
      <c r="AD26" s="6"/>
      <c r="AE26" s="6"/>
      <c r="AF26" s="6"/>
      <c r="AG26" s="6"/>
      <c r="AH26" s="6"/>
      <c r="AI26" s="6"/>
      <c r="AJ26" s="6"/>
    </row>
    <row r="27" spans="15:37" ht="14.25" customHeight="1" x14ac:dyDescent="0.15">
      <c r="S27" s="6" t="str">
        <f>IF(org=0,"Не определено",org)</f>
        <v>КГУП "Примтеплоэнерго"</v>
      </c>
      <c r="T27" s="6"/>
      <c r="U27" s="6"/>
      <c r="V27" s="6"/>
      <c r="W27" s="6"/>
      <c r="X27" s="6"/>
      <c r="Y27" s="6"/>
      <c r="Z27" s="6"/>
      <c r="AA27" s="6"/>
      <c r="AB27" s="6"/>
      <c r="AC27" s="6"/>
      <c r="AD27" s="6"/>
      <c r="AE27" s="6"/>
      <c r="AF27" s="6"/>
      <c r="AG27" s="6"/>
      <c r="AH27" s="6"/>
      <c r="AI27" s="6"/>
      <c r="AJ27" s="6"/>
    </row>
    <row r="28" spans="15:37" ht="14.25" hidden="1" customHeight="1" x14ac:dyDescent="0.15"/>
    <row r="29" spans="15:37" ht="25.5" hidden="1" customHeight="1" x14ac:dyDescent="0.15">
      <c r="S29" s="6" t="s">
        <v>25</v>
      </c>
      <c r="T29" s="6"/>
      <c r="V29" s="6" t="str">
        <f>IF(TITLE_NAME_OR_PR_CHANGE="",IF(TITLE_NAME_OR_PR="","",TITLE_NAME_OR_PR),TITLE_NAME_OR_PR_CHANGE)</f>
        <v/>
      </c>
      <c r="W29" s="6"/>
      <c r="X29" s="6"/>
      <c r="Y29" s="6"/>
      <c r="Z29" s="6"/>
      <c r="AA29" s="6"/>
      <c r="AB29" s="6"/>
      <c r="AD29" s="6" t="str">
        <f>IF(TITLE_NAME_OR_PR_CHANGE="",IF(TITLE_NAME_OR_PR="","",TITLE_NAME_OR_PR),TITLE_NAME_OR_PR_CHANGE)</f>
        <v/>
      </c>
      <c r="AE29" s="6"/>
      <c r="AF29" s="6"/>
      <c r="AG29" s="6"/>
      <c r="AH29" s="6"/>
      <c r="AI29" s="6"/>
      <c r="AJ29" s="6"/>
    </row>
    <row r="30" spans="15:37" ht="18.75" hidden="1" customHeight="1" x14ac:dyDescent="0.15">
      <c r="S30" s="6" t="s">
        <v>1744</v>
      </c>
      <c r="T30" s="6"/>
      <c r="V30" s="6" t="str">
        <f>IF(TITLE_DATE_CHANGE_PERIOD="",IF(TITLE_DATE_PR="","",TITLE_DATE_PR),TITLE_DATE_CHANGE_PERIOD)</f>
        <v/>
      </c>
      <c r="W30" s="6"/>
      <c r="X30" s="6"/>
      <c r="Y30" s="6"/>
      <c r="Z30" s="6"/>
      <c r="AA30" s="6"/>
      <c r="AB30" s="6"/>
      <c r="AD30" s="6" t="str">
        <f>IF(TITLE_DATE_CHANGE_PERIOD="",IF(TITLE_DATE_PR="","",TITLE_DATE_PR),TITLE_DATE_CHANGE_PERIOD)</f>
        <v/>
      </c>
      <c r="AE30" s="6"/>
      <c r="AF30" s="6"/>
      <c r="AG30" s="6"/>
      <c r="AH30" s="6"/>
      <c r="AI30" s="6"/>
      <c r="AJ30" s="6"/>
    </row>
    <row r="31" spans="15:37" ht="18.75" hidden="1" customHeight="1" x14ac:dyDescent="0.15">
      <c r="S31" s="6" t="s">
        <v>1745</v>
      </c>
      <c r="T31" s="6"/>
      <c r="V31" s="6" t="str">
        <f>IF(TITLE_NUMBER_PR_CHANGE="",IF(TITLE_NUMBER_PR="","",TITLE_NUMBER_PR),TITLE_NUMBER_PR_CHANGE)</f>
        <v/>
      </c>
      <c r="W31" s="6"/>
      <c r="X31" s="6"/>
      <c r="Y31" s="6"/>
      <c r="Z31" s="6"/>
      <c r="AA31" s="6"/>
      <c r="AB31" s="6"/>
      <c r="AD31" s="6" t="str">
        <f>IF(TITLE_NUMBER_PR_CHANGE="",IF(TITLE_NUMBER_PR="","",TITLE_NUMBER_PR),TITLE_NUMBER_PR_CHANGE)</f>
        <v/>
      </c>
      <c r="AE31" s="6"/>
      <c r="AF31" s="6"/>
      <c r="AG31" s="6"/>
      <c r="AH31" s="6"/>
      <c r="AI31" s="6"/>
      <c r="AJ31" s="6"/>
    </row>
    <row r="32" spans="15:37" ht="18.75" hidden="1" customHeight="1" x14ac:dyDescent="0.15">
      <c r="S32" s="6" t="s">
        <v>26</v>
      </c>
      <c r="T32" s="6"/>
      <c r="V32" s="6" t="str">
        <f>IF(TITLE_IST_PUB_CHANGE="",IF(TITLE_IST_PUB="","",TITLE_IST_PUB),TITLE_IST_PUB_CHANGE)</f>
        <v/>
      </c>
      <c r="W32" s="6"/>
      <c r="X32" s="6"/>
      <c r="Y32" s="6"/>
      <c r="Z32" s="6"/>
      <c r="AA32" s="6"/>
      <c r="AB32" s="6"/>
      <c r="AD32" s="6" t="str">
        <f>IF(TITLE_IST_PUB_CHANGE="",IF(TITLE_IST_PUB="","",TITLE_IST_PUB),TITLE_IST_PUB_CHANGE)</f>
        <v/>
      </c>
      <c r="AE32" s="6"/>
      <c r="AF32" s="6"/>
      <c r="AG32" s="6"/>
      <c r="AH32" s="6"/>
      <c r="AI32" s="6"/>
      <c r="AJ32" s="6"/>
    </row>
    <row r="33" spans="1:42" ht="14.25" hidden="1" customHeight="1" x14ac:dyDescent="0.15"/>
    <row r="34" spans="1:42" ht="18.75" hidden="1" customHeight="1" x14ac:dyDescent="0.15">
      <c r="S34" s="6" t="s">
        <v>1746</v>
      </c>
      <c r="T34" s="6"/>
      <c r="V34" s="6" t="str">
        <f>IF(TITLE_DATE_CHANGE_PERIOD="",IF(TITLE_DATE_PR="","",TITLE_DATE_PR),TITLE_DATE_CHANGE_PERIOD)</f>
        <v/>
      </c>
      <c r="W34" s="6"/>
      <c r="X34" s="6"/>
      <c r="Y34" s="6"/>
      <c r="Z34" s="6"/>
      <c r="AA34" s="6"/>
      <c r="AB34" s="6"/>
      <c r="AD34" s="6" t="str">
        <f>IF(TITLE_DATE_CHANGE_PERIOD="",IF(TITLE_DATE_PR="","",TITLE_DATE_PR),TITLE_DATE_CHANGE_PERIOD)</f>
        <v/>
      </c>
      <c r="AE34" s="6"/>
      <c r="AF34" s="6"/>
      <c r="AG34" s="6"/>
      <c r="AH34" s="6"/>
      <c r="AI34" s="6"/>
      <c r="AJ34" s="6"/>
    </row>
    <row r="35" spans="1:42" ht="18.75" hidden="1" customHeight="1" x14ac:dyDescent="0.15">
      <c r="S35" s="6" t="s">
        <v>1747</v>
      </c>
      <c r="T35" s="6"/>
      <c r="V35" s="6" t="str">
        <f>IF(TITLE_NUMBER_PR_CHANGE="",IF(TITLE_NUMBER_PR="","",TITLE_NUMBER_PR),TITLE_NUMBER_PR_CHANGE)</f>
        <v/>
      </c>
      <c r="W35" s="6"/>
      <c r="X35" s="6"/>
      <c r="Y35" s="6"/>
      <c r="Z35" s="6"/>
      <c r="AA35" s="6"/>
      <c r="AB35" s="6"/>
      <c r="AD35" s="6" t="str">
        <f>IF(TITLE_NUMBER_PR_CHANGE="",IF(TITLE_NUMBER_PR="","",TITLE_NUMBER_PR),TITLE_NUMBER_PR_CHANGE)</f>
        <v/>
      </c>
      <c r="AE35" s="6"/>
      <c r="AF35" s="6"/>
      <c r="AG35" s="6"/>
      <c r="AH35" s="6"/>
      <c r="AI35" s="6"/>
      <c r="AJ35" s="6"/>
    </row>
    <row r="36" spans="1:42" ht="0" hidden="1" customHeight="1" x14ac:dyDescent="0.15">
      <c r="AC36" t="s">
        <v>1748</v>
      </c>
      <c r="AK36" t="s">
        <v>1748</v>
      </c>
    </row>
    <row r="37" spans="1:42" ht="14.25" customHeight="1" x14ac:dyDescent="0.15">
      <c r="V37" s="6"/>
      <c r="W37" s="6"/>
      <c r="X37" s="6"/>
      <c r="Y37" s="6"/>
      <c r="Z37" s="6"/>
      <c r="AA37" s="6"/>
      <c r="AB37" s="6"/>
      <c r="AC37" s="6"/>
      <c r="AD37" s="6"/>
      <c r="AE37" s="6"/>
      <c r="AF37" s="6"/>
      <c r="AG37" s="6"/>
      <c r="AH37" s="6"/>
      <c r="AI37" s="6"/>
      <c r="AJ37" s="6"/>
      <c r="AK37" s="6"/>
    </row>
    <row r="38" spans="1:42" ht="14.25" customHeight="1" x14ac:dyDescent="0.15">
      <c r="S38" s="6" t="s">
        <v>593</v>
      </c>
      <c r="T38" s="6"/>
      <c r="U38" s="6"/>
      <c r="V38" s="6"/>
      <c r="W38" s="6"/>
      <c r="X38" s="6"/>
      <c r="Y38" s="6"/>
      <c r="Z38" s="6"/>
      <c r="AA38" s="6"/>
      <c r="AB38" s="6"/>
      <c r="AC38" s="6"/>
      <c r="AD38" s="6"/>
      <c r="AE38" s="6"/>
      <c r="AF38" s="6"/>
      <c r="AG38" s="6"/>
      <c r="AH38" s="6"/>
      <c r="AI38" s="6"/>
      <c r="AJ38" s="6"/>
      <c r="AK38" s="6"/>
      <c r="AL38" s="6"/>
      <c r="AM38" s="6" t="s">
        <v>594</v>
      </c>
    </row>
    <row r="39" spans="1:42" ht="14.25" customHeight="1" x14ac:dyDescent="0.15">
      <c r="S39" s="6" t="s">
        <v>75</v>
      </c>
      <c r="T39" s="6" t="s">
        <v>1749</v>
      </c>
      <c r="V39" s="6" t="s">
        <v>1750</v>
      </c>
      <c r="W39" s="6"/>
      <c r="X39" s="6"/>
      <c r="Y39" s="6"/>
      <c r="Z39" s="6"/>
      <c r="AA39" s="6"/>
      <c r="AB39" s="6"/>
      <c r="AC39" s="6" t="s">
        <v>1751</v>
      </c>
      <c r="AD39" s="6" t="s">
        <v>1750</v>
      </c>
      <c r="AE39" s="6"/>
      <c r="AF39" s="6"/>
      <c r="AG39" s="6"/>
      <c r="AH39" s="6"/>
      <c r="AI39" s="6"/>
      <c r="AJ39" s="6"/>
      <c r="AK39" s="6" t="s">
        <v>1752</v>
      </c>
      <c r="AL39" s="6" t="s">
        <v>1753</v>
      </c>
      <c r="AM39" s="6"/>
    </row>
    <row r="40" spans="1:42" ht="23.25" customHeight="1" x14ac:dyDescent="0.15">
      <c r="S40" s="6"/>
      <c r="T40" s="6"/>
      <c r="V40" s="6" t="s">
        <v>1754</v>
      </c>
      <c r="W40" s="6" t="s">
        <v>1755</v>
      </c>
      <c r="X40" t="s">
        <v>1756</v>
      </c>
      <c r="Z40" s="6" t="s">
        <v>1757</v>
      </c>
      <c r="AA40" s="6"/>
      <c r="AB40" s="6"/>
      <c r="AC40" s="6"/>
      <c r="AD40" s="6" t="s">
        <v>1754</v>
      </c>
      <c r="AE40" s="6" t="s">
        <v>1755</v>
      </c>
      <c r="AF40" t="s">
        <v>1756</v>
      </c>
      <c r="AH40" s="6" t="s">
        <v>1757</v>
      </c>
      <c r="AI40" s="6"/>
      <c r="AJ40" s="6"/>
      <c r="AK40" s="6"/>
      <c r="AL40" s="6"/>
      <c r="AM40" s="6"/>
    </row>
    <row r="41" spans="1:42" ht="23.25" customHeight="1" x14ac:dyDescent="0.15">
      <c r="B41" t="s">
        <v>443</v>
      </c>
      <c r="C41" t="s">
        <v>444</v>
      </c>
      <c r="D41" t="s">
        <v>445</v>
      </c>
      <c r="E41" t="s">
        <v>1758</v>
      </c>
      <c r="F41" t="s">
        <v>1759</v>
      </c>
      <c r="G41" t="s">
        <v>1760</v>
      </c>
      <c r="H41" t="s">
        <v>1761</v>
      </c>
      <c r="I41" t="s">
        <v>1762</v>
      </c>
      <c r="J41" t="s">
        <v>1763</v>
      </c>
      <c r="K41" t="s">
        <v>1764</v>
      </c>
      <c r="L41" t="s">
        <v>1739</v>
      </c>
      <c r="S41" s="6"/>
      <c r="T41" s="6"/>
      <c r="V41" s="6"/>
      <c r="W41" s="6"/>
      <c r="X41" t="s">
        <v>1765</v>
      </c>
      <c r="Y41" t="s">
        <v>1766</v>
      </c>
      <c r="Z41" t="s">
        <v>1767</v>
      </c>
      <c r="AA41" s="6" t="s">
        <v>1768</v>
      </c>
      <c r="AB41" s="6"/>
      <c r="AC41" s="6"/>
      <c r="AD41" s="6"/>
      <c r="AE41" s="6"/>
      <c r="AF41" t="s">
        <v>1765</v>
      </c>
      <c r="AG41" t="s">
        <v>1766</v>
      </c>
      <c r="AH41" t="s">
        <v>1767</v>
      </c>
      <c r="AI41" s="6" t="s">
        <v>1768</v>
      </c>
      <c r="AJ41" s="6"/>
      <c r="AK41" s="6"/>
      <c r="AL41" s="6"/>
      <c r="AM41" s="6"/>
    </row>
    <row r="42" spans="1:42" ht="11.25" hidden="1" customHeight="1" x14ac:dyDescent="0.15">
      <c r="R42">
        <v>1</v>
      </c>
      <c r="S42" t="s">
        <v>165</v>
      </c>
      <c r="T42" t="s">
        <v>89</v>
      </c>
      <c r="U42" t="str">
        <f ca="1">OFFSET(U42,0,-1)</f>
        <v>2</v>
      </c>
      <c r="V42">
        <f ca="1">OFFSET(V42,0,-1)+1</f>
        <v>3</v>
      </c>
      <c r="X42">
        <f ca="1">OFFSET(X42,0,-1)+1</f>
        <v>1</v>
      </c>
      <c r="Y42">
        <f ca="1">OFFSET(Y42,0,-1)+1</f>
        <v>2</v>
      </c>
      <c r="Z42">
        <f ca="1">OFFSET(Z42,0,-1)+1</f>
        <v>3</v>
      </c>
      <c r="AA42" s="6">
        <f ca="1">OFFSET(AA42,0,-1)+1</f>
        <v>4</v>
      </c>
      <c r="AB42" s="6"/>
      <c r="AC42">
        <f ca="1">OFFSET(AC42,0,-2)+1</f>
        <v>5</v>
      </c>
      <c r="AD42">
        <f ca="1">OFFSET(AD42,0,-1)+1</f>
        <v>6</v>
      </c>
      <c r="AF42">
        <f ca="1">OFFSET(AF42,0,-1)+1</f>
        <v>1</v>
      </c>
      <c r="AG42">
        <f ca="1">OFFSET(AG42,0,-1)+1</f>
        <v>2</v>
      </c>
      <c r="AH42">
        <f ca="1">OFFSET(AH42,0,-1)+1</f>
        <v>3</v>
      </c>
      <c r="AI42" s="6">
        <f ca="1">OFFSET(AI42,0,-1)+1</f>
        <v>4</v>
      </c>
      <c r="AJ42" s="6"/>
      <c r="AK42">
        <f ca="1">OFFSET(AK42,0,-2)+1</f>
        <v>5</v>
      </c>
      <c r="AL42">
        <f ca="1">OFFSET(AL42,0,-1)</f>
        <v>5</v>
      </c>
      <c r="AM42">
        <f ca="1">OFFSET(AM42,0,-1)+1</f>
        <v>6</v>
      </c>
    </row>
    <row r="43" spans="1:42" ht="21" customHeight="1" x14ac:dyDescent="0.15">
      <c r="A43" t="s">
        <v>499</v>
      </c>
      <c r="E43" s="6">
        <v>1</v>
      </c>
      <c r="S43">
        <f>INDEX(PT_DIFFERENTIATION_NUM_NTAR,MATCH(A43,PT_DIFFERENTIATION_NTAR_ID,0))</f>
        <v>0</v>
      </c>
      <c r="T43" t="s">
        <v>431</v>
      </c>
      <c r="V43" s="6"/>
      <c r="W43" s="6"/>
      <c r="X43" s="6"/>
      <c r="Y43" s="6"/>
      <c r="Z43" s="6"/>
      <c r="AA43" s="6"/>
      <c r="AB43" s="6"/>
      <c r="AC43" s="6"/>
      <c r="AD43" s="6" t="str">
        <f>INDEX(PT_DIFFERENTIATION_NTAR,MATCH(A43,PT_DIFFERENTIATION_NTAR_ID,0))</f>
        <v/>
      </c>
      <c r="AE43" s="6"/>
      <c r="AF43" s="6"/>
      <c r="AG43" s="6"/>
      <c r="AH43" s="6"/>
      <c r="AI43" s="6"/>
      <c r="AJ43" s="6"/>
      <c r="AK43" s="6"/>
      <c r="AL43" s="6"/>
      <c r="AM43" t="s">
        <v>1720</v>
      </c>
      <c r="AP43" t="str">
        <f t="shared" ref="AP43:AP57" si="1">IF(T43="","",T43)</f>
        <v>Наименование тарифа</v>
      </c>
    </row>
    <row r="44" spans="1:42" ht="21" customHeight="1" x14ac:dyDescent="0.15">
      <c r="A44" t="s">
        <v>499</v>
      </c>
      <c r="B44" t="s">
        <v>500</v>
      </c>
      <c r="E44" s="6"/>
      <c r="F44" s="6">
        <v>1</v>
      </c>
      <c r="S44" t="str">
        <f>INDEX(PT_DIFFERENTIATION_NUM_TER,MATCH(B44,PT_DIFFERENTIATION_TER_ID,0))</f>
        <v>.</v>
      </c>
      <c r="T44" t="s">
        <v>1721</v>
      </c>
      <c r="V44" s="6"/>
      <c r="W44" s="6"/>
      <c r="X44" s="6"/>
      <c r="Y44" s="6"/>
      <c r="Z44" s="6"/>
      <c r="AA44" s="6"/>
      <c r="AB44" s="6"/>
      <c r="AC44" s="6"/>
      <c r="AD44" s="6" t="str">
        <f>INDEX(PT_DIFFERENTIATION_TER,MATCH(B44,PT_DIFFERENTIATION_TER_ID,0))</f>
        <v/>
      </c>
      <c r="AE44" s="6"/>
      <c r="AF44" s="6"/>
      <c r="AG44" s="6"/>
      <c r="AH44" s="6"/>
      <c r="AI44" s="6"/>
      <c r="AJ44" s="6"/>
      <c r="AK44" s="6"/>
      <c r="AL44" s="6"/>
      <c r="AM44" t="s">
        <v>1722</v>
      </c>
      <c r="AP44" t="str">
        <f t="shared" si="1"/>
        <v>Территория действия тарифа</v>
      </c>
    </row>
    <row r="45" spans="1:42" ht="23.25" customHeight="1" x14ac:dyDescent="0.15">
      <c r="A45" t="s">
        <v>499</v>
      </c>
      <c r="B45" t="s">
        <v>500</v>
      </c>
      <c r="C45" t="s">
        <v>501</v>
      </c>
      <c r="E45" s="6"/>
      <c r="F45" s="6"/>
      <c r="G45" s="6">
        <v>1</v>
      </c>
      <c r="S45" t="str">
        <f>INDEX(PT_DIFFERENTIATION_NUM_CS,MATCH(C45,PT_DIFFERENTIATION_CS_ID,0))</f>
        <v>..</v>
      </c>
      <c r="T45" t="s">
        <v>1723</v>
      </c>
      <c r="V45" s="6"/>
      <c r="W45" s="6"/>
      <c r="X45" s="6"/>
      <c r="Y45" s="6"/>
      <c r="Z45" s="6"/>
      <c r="AA45" s="6"/>
      <c r="AB45" s="6"/>
      <c r="AC45" s="6"/>
      <c r="AD45" s="6" t="str">
        <f>INDEX(PT_DIFFERENTIATION_CS,MATCH(C45,PT_DIFFERENTIATION_CS_ID,0))</f>
        <v/>
      </c>
      <c r="AE45" s="6"/>
      <c r="AF45" s="6"/>
      <c r="AG45" s="6"/>
      <c r="AH45" s="6"/>
      <c r="AI45" s="6"/>
      <c r="AJ45" s="6"/>
      <c r="AK45" s="6"/>
      <c r="AL45" s="6"/>
      <c r="AM45" t="s">
        <v>1724</v>
      </c>
      <c r="AP45" t="str">
        <f t="shared" si="1"/>
        <v xml:space="preserve">Наименование системы теплоснабжения </v>
      </c>
    </row>
    <row r="46" spans="1:42" ht="21" customHeight="1" x14ac:dyDescent="0.15">
      <c r="A46" t="s">
        <v>499</v>
      </c>
      <c r="B46" t="s">
        <v>500</v>
      </c>
      <c r="C46" t="s">
        <v>501</v>
      </c>
      <c r="D46" t="s">
        <v>502</v>
      </c>
      <c r="E46" s="6"/>
      <c r="F46" s="6"/>
      <c r="G46" s="6"/>
      <c r="H46" s="6">
        <v>1</v>
      </c>
      <c r="S46" t="str">
        <f>INDEX(PT_DIFFERENTIATION_NUM_IST_TE,MATCH(D46,PT_DIFFERENTIATION_IST_TE_ID,0))</f>
        <v>...</v>
      </c>
      <c r="T46" t="s">
        <v>1725</v>
      </c>
      <c r="V46" s="6"/>
      <c r="W46" s="6"/>
      <c r="X46" s="6"/>
      <c r="Y46" s="6"/>
      <c r="Z46" s="6"/>
      <c r="AA46" s="6"/>
      <c r="AB46" s="6"/>
      <c r="AC46" s="6"/>
      <c r="AD46" s="6" t="str">
        <f>INDEX(PT_DIFFERENTIATION_IST_TE,MATCH(D46,PT_DIFFERENTIATION_IST_TE_ID,0))</f>
        <v/>
      </c>
      <c r="AE46" s="6"/>
      <c r="AF46" s="6"/>
      <c r="AG46" s="6"/>
      <c r="AH46" s="6"/>
      <c r="AI46" s="6"/>
      <c r="AJ46" s="6"/>
      <c r="AK46" s="6"/>
      <c r="AL46" s="6"/>
      <c r="AM46" t="s">
        <v>1726</v>
      </c>
      <c r="AP46" t="str">
        <f t="shared" si="1"/>
        <v xml:space="preserve">Источник тепловой энергии  </v>
      </c>
    </row>
    <row r="47" spans="1:42" ht="47.25" customHeight="1" x14ac:dyDescent="0.15">
      <c r="A47" t="s">
        <v>499</v>
      </c>
      <c r="B47" t="s">
        <v>500</v>
      </c>
      <c r="C47" t="s">
        <v>501</v>
      </c>
      <c r="D47" t="s">
        <v>502</v>
      </c>
      <c r="E47" s="6"/>
      <c r="F47" s="6"/>
      <c r="G47" s="6"/>
      <c r="H47" s="6"/>
      <c r="I47" s="6" t="str">
        <f>S46&amp;".1"</f>
        <v>....1</v>
      </c>
      <c r="L47" t="s">
        <v>1727</v>
      </c>
      <c r="P47" s="6">
        <v>1</v>
      </c>
      <c r="S47" t="str">
        <f>$I47</f>
        <v>....1</v>
      </c>
      <c r="T47" t="s">
        <v>1728</v>
      </c>
      <c r="V47" s="6"/>
      <c r="W47" s="6"/>
      <c r="X47" s="6"/>
      <c r="Y47" s="6"/>
      <c r="Z47" s="6"/>
      <c r="AA47" s="6"/>
      <c r="AB47" s="6"/>
      <c r="AC47" s="6"/>
      <c r="AD47" s="6"/>
      <c r="AE47" s="6"/>
      <c r="AF47" s="6"/>
      <c r="AG47" s="6"/>
      <c r="AH47" s="6"/>
      <c r="AI47" s="6"/>
      <c r="AJ47" s="6"/>
      <c r="AK47" s="6"/>
      <c r="AL47" s="6"/>
      <c r="AM47" t="s">
        <v>1729</v>
      </c>
      <c r="AP47" t="str">
        <f t="shared" si="1"/>
        <v>Схема подключения теплопотребляющей установки к коллектору источника тепловой энергии</v>
      </c>
    </row>
    <row r="48" spans="1:42" ht="21" customHeight="1" x14ac:dyDescent="0.15">
      <c r="A48" t="s">
        <v>499</v>
      </c>
      <c r="B48" t="s">
        <v>500</v>
      </c>
      <c r="C48" t="s">
        <v>501</v>
      </c>
      <c r="D48" t="s">
        <v>502</v>
      </c>
      <c r="E48" s="6"/>
      <c r="F48" s="6"/>
      <c r="G48" s="6"/>
      <c r="H48" s="6"/>
      <c r="I48" s="6"/>
      <c r="J48" s="6" t="str">
        <f>I47&amp;".1"</f>
        <v>....1.1</v>
      </c>
      <c r="L48" t="s">
        <v>1730</v>
      </c>
      <c r="P48" s="6"/>
      <c r="Q48" s="6">
        <v>1</v>
      </c>
      <c r="S48" t="str">
        <f>$J48</f>
        <v>....1.1</v>
      </c>
      <c r="T48" t="s">
        <v>1731</v>
      </c>
      <c r="V48" s="6"/>
      <c r="W48" s="6"/>
      <c r="X48" s="6"/>
      <c r="Y48" s="6"/>
      <c r="Z48" s="6"/>
      <c r="AA48" s="6"/>
      <c r="AB48" s="6"/>
      <c r="AC48" s="6"/>
      <c r="AD48" s="6"/>
      <c r="AE48" s="6"/>
      <c r="AF48" s="6"/>
      <c r="AG48" s="6"/>
      <c r="AH48" s="6"/>
      <c r="AI48" s="6"/>
      <c r="AJ48" s="6"/>
      <c r="AK48" s="6"/>
      <c r="AL48" s="6"/>
      <c r="AM48" t="s">
        <v>1732</v>
      </c>
      <c r="AP48" t="str">
        <f t="shared" si="1"/>
        <v>Группа потребителей</v>
      </c>
    </row>
    <row r="49" spans="1:42" ht="21" customHeight="1" x14ac:dyDescent="0.15">
      <c r="A49" t="s">
        <v>499</v>
      </c>
      <c r="B49" t="s">
        <v>500</v>
      </c>
      <c r="C49" t="s">
        <v>501</v>
      </c>
      <c r="D49" t="s">
        <v>502</v>
      </c>
      <c r="E49" s="6"/>
      <c r="F49" s="6"/>
      <c r="G49" s="6"/>
      <c r="H49" s="6"/>
      <c r="I49" s="6"/>
      <c r="J49" s="6"/>
      <c r="K49" s="6" t="str">
        <f>J48&amp;".1"</f>
        <v>....1.1.1</v>
      </c>
      <c r="L49" t="s">
        <v>1733</v>
      </c>
      <c r="P49" s="6"/>
      <c r="Q49" s="6"/>
      <c r="R49">
        <v>1</v>
      </c>
      <c r="S49" t="str">
        <f>$K49</f>
        <v>....1.1.1</v>
      </c>
      <c r="Z49" s="6"/>
      <c r="AA49" s="6" t="s">
        <v>50</v>
      </c>
      <c r="AB49" s="6"/>
      <c r="AC49" s="6" t="s">
        <v>50</v>
      </c>
      <c r="AH49" s="6"/>
      <c r="AI49" s="6" t="s">
        <v>50</v>
      </c>
      <c r="AJ49" s="6"/>
      <c r="AK49" s="6" t="s">
        <v>50</v>
      </c>
      <c r="AM49" s="6" t="s">
        <v>1734</v>
      </c>
      <c r="AN49" t="e">
        <f ca="1">STRCHECKDATE(V50:AL50)</f>
        <v>#NAME?</v>
      </c>
      <c r="AP49" t="str">
        <f t="shared" si="1"/>
        <v/>
      </c>
    </row>
    <row r="50" spans="1:42" ht="0.75" customHeight="1" x14ac:dyDescent="0.15">
      <c r="A50" t="s">
        <v>499</v>
      </c>
      <c r="B50" t="s">
        <v>500</v>
      </c>
      <c r="C50" t="s">
        <v>501</v>
      </c>
      <c r="D50" t="s">
        <v>502</v>
      </c>
      <c r="E50" s="6"/>
      <c r="F50" s="6"/>
      <c r="G50" s="6"/>
      <c r="H50" s="6"/>
      <c r="I50" s="6"/>
      <c r="J50" s="6"/>
      <c r="K50" s="6"/>
      <c r="P50" s="6"/>
      <c r="Q50" s="6"/>
      <c r="Y50" t="str">
        <f>Z49&amp;"-"&amp;AB49</f>
        <v>-</v>
      </c>
      <c r="Z50" s="6"/>
      <c r="AA50" s="6"/>
      <c r="AB50" s="6"/>
      <c r="AC50" s="6"/>
      <c r="AG50" t="str">
        <f>AH49&amp;"-"&amp;AJ49</f>
        <v>-</v>
      </c>
      <c r="AH50" s="6"/>
      <c r="AI50" s="6"/>
      <c r="AJ50" s="6"/>
      <c r="AK50" s="6"/>
      <c r="AM50" s="6"/>
      <c r="AP50" t="str">
        <f t="shared" si="1"/>
        <v/>
      </c>
    </row>
    <row r="51" spans="1:42" ht="11.25" customHeight="1" x14ac:dyDescent="0.15">
      <c r="A51" t="s">
        <v>499</v>
      </c>
      <c r="B51" t="s">
        <v>500</v>
      </c>
      <c r="C51" t="s">
        <v>501</v>
      </c>
      <c r="D51" t="s">
        <v>502</v>
      </c>
      <c r="E51" s="6"/>
      <c r="F51" s="6"/>
      <c r="G51" s="6"/>
      <c r="H51" s="6"/>
      <c r="I51" s="6"/>
      <c r="J51" s="6"/>
      <c r="P51" s="6"/>
      <c r="Q51" s="6"/>
      <c r="T51" t="s">
        <v>1735</v>
      </c>
      <c r="AM51" s="6"/>
      <c r="AP51" t="str">
        <f t="shared" si="1"/>
        <v>Добавить вид теплоносителя (параметры теплоносителя)</v>
      </c>
    </row>
    <row r="52" spans="1:42" ht="11.25" customHeight="1" x14ac:dyDescent="0.15">
      <c r="A52" t="s">
        <v>499</v>
      </c>
      <c r="B52" t="s">
        <v>500</v>
      </c>
      <c r="C52" t="s">
        <v>501</v>
      </c>
      <c r="D52" t="s">
        <v>502</v>
      </c>
      <c r="E52" s="6"/>
      <c r="F52" s="6"/>
      <c r="G52" s="6"/>
      <c r="H52" s="6"/>
      <c r="I52" s="6"/>
      <c r="P52" s="6"/>
      <c r="T52" t="s">
        <v>1736</v>
      </c>
      <c r="AP52" t="str">
        <f t="shared" si="1"/>
        <v>Добавить группу потребителей</v>
      </c>
    </row>
    <row r="53" spans="1:42" ht="14.25" customHeight="1" x14ac:dyDescent="0.15">
      <c r="A53" t="s">
        <v>499</v>
      </c>
      <c r="B53" t="s">
        <v>500</v>
      </c>
      <c r="C53" t="s">
        <v>501</v>
      </c>
      <c r="D53" t="s">
        <v>502</v>
      </c>
      <c r="E53" s="6"/>
      <c r="F53" s="6"/>
      <c r="G53" s="6"/>
      <c r="H53" s="6"/>
      <c r="T53" t="s">
        <v>1737</v>
      </c>
      <c r="AP53" t="str">
        <f t="shared" si="1"/>
        <v>Добавить схему подключения</v>
      </c>
    </row>
    <row r="54" spans="1:42" ht="0.75" customHeight="1" x14ac:dyDescent="0.15">
      <c r="A54" t="s">
        <v>499</v>
      </c>
      <c r="B54" t="s">
        <v>500</v>
      </c>
      <c r="C54" t="s">
        <v>501</v>
      </c>
      <c r="E54" s="6"/>
      <c r="F54" s="6"/>
      <c r="G54" s="6"/>
      <c r="T54" t="s">
        <v>1696</v>
      </c>
      <c r="AP54" t="str">
        <f t="shared" si="1"/>
        <v>Добавить источник для дифференциации</v>
      </c>
    </row>
    <row r="55" spans="1:42" ht="0.75" customHeight="1" x14ac:dyDescent="0.15">
      <c r="A55" t="s">
        <v>499</v>
      </c>
      <c r="B55" t="s">
        <v>500</v>
      </c>
      <c r="E55" s="6"/>
      <c r="F55" s="6"/>
      <c r="T55" t="s">
        <v>1697</v>
      </c>
      <c r="AP55" t="str">
        <f t="shared" si="1"/>
        <v>Добавить централизованную систему для дифференциации</v>
      </c>
    </row>
    <row r="56" spans="1:42" ht="0.75" customHeight="1" x14ac:dyDescent="0.15">
      <c r="A56" t="s">
        <v>499</v>
      </c>
      <c r="E56" s="6"/>
      <c r="T56" t="s">
        <v>1698</v>
      </c>
      <c r="AP56" t="str">
        <f t="shared" si="1"/>
        <v>Добавить территорию для дифференциации</v>
      </c>
    </row>
    <row r="57" spans="1:42" ht="0.75" customHeight="1" x14ac:dyDescent="0.15">
      <c r="T57" t="s">
        <v>1699</v>
      </c>
      <c r="AP57" t="str">
        <f t="shared" si="1"/>
        <v>Добавить наименование тарифа</v>
      </c>
    </row>
    <row r="58" spans="1:42" ht="11.25" hidden="1" customHeight="1" x14ac:dyDescent="0.15"/>
    <row r="59" spans="1:42" ht="27" hidden="1" customHeight="1" x14ac:dyDescent="0.15">
      <c r="S59" t="s">
        <v>1769</v>
      </c>
      <c r="T59" s="6" t="s">
        <v>1776</v>
      </c>
      <c r="U59" s="6"/>
      <c r="V59" s="6"/>
      <c r="W59" s="6"/>
      <c r="X59" s="6"/>
      <c r="Y59" s="6"/>
      <c r="Z59" s="6"/>
      <c r="AA59" s="6"/>
      <c r="AB59" s="6"/>
      <c r="AC59" s="6"/>
      <c r="AD59" s="6"/>
      <c r="AE59" s="6"/>
      <c r="AF59" s="6"/>
      <c r="AG59" s="6"/>
      <c r="AH59" s="6"/>
      <c r="AI59" s="6"/>
      <c r="AJ59" s="6"/>
      <c r="AK59" s="6"/>
      <c r="AL59" s="6"/>
      <c r="AM59" s="6"/>
    </row>
    <row r="60" spans="1:42" ht="75" hidden="1" customHeight="1" x14ac:dyDescent="0.15">
      <c r="T60" s="6" t="s">
        <v>1771</v>
      </c>
      <c r="U60" s="6"/>
      <c r="V60" s="6"/>
      <c r="W60" s="6"/>
      <c r="X60" s="6"/>
      <c r="Y60" s="6"/>
      <c r="Z60" s="6"/>
      <c r="AA60" s="6"/>
      <c r="AB60" s="6"/>
      <c r="AC60" s="6"/>
      <c r="AD60" s="6"/>
      <c r="AE60" s="6"/>
      <c r="AF60" s="6"/>
      <c r="AG60" s="6"/>
      <c r="AH60" s="6"/>
      <c r="AI60" s="6"/>
      <c r="AJ60" s="6"/>
      <c r="AK60" s="6"/>
      <c r="AL60" s="6"/>
      <c r="AM60" s="6"/>
    </row>
    <row r="61" spans="1:42" ht="14.25" hidden="1" customHeight="1" x14ac:dyDescent="0.15"/>
    <row r="62" spans="1:42" ht="18" hidden="1" customHeight="1" x14ac:dyDescent="0.15">
      <c r="S62" t="s">
        <v>1769</v>
      </c>
      <c r="T62" s="6" t="s">
        <v>1772</v>
      </c>
      <c r="U62" s="6"/>
      <c r="V62" s="6"/>
      <c r="W62" s="6"/>
      <c r="X62" s="6"/>
      <c r="Y62" s="6"/>
      <c r="Z62" s="6"/>
      <c r="AA62" s="6"/>
      <c r="AB62" s="6"/>
      <c r="AC62" s="6"/>
      <c r="AD62" s="6"/>
      <c r="AE62" s="6"/>
      <c r="AF62" s="6"/>
      <c r="AG62" s="6"/>
      <c r="AH62" s="6"/>
      <c r="AI62" s="6"/>
      <c r="AJ62" s="6"/>
      <c r="AK62" s="6"/>
      <c r="AL62" s="6"/>
      <c r="AM62" s="6"/>
    </row>
    <row r="63" spans="1:42" ht="18" hidden="1" customHeight="1" x14ac:dyDescent="0.15">
      <c r="T63" s="6" t="s">
        <v>1773</v>
      </c>
      <c r="U63" s="6"/>
      <c r="V63" s="6"/>
      <c r="W63" s="6"/>
      <c r="X63" s="6"/>
      <c r="Y63" s="6"/>
      <c r="Z63" s="6"/>
      <c r="AA63" s="6"/>
      <c r="AB63" s="6"/>
      <c r="AC63" s="6"/>
      <c r="AD63" s="6"/>
      <c r="AE63" s="6"/>
      <c r="AF63" s="6"/>
      <c r="AG63" s="6"/>
      <c r="AH63" s="6"/>
      <c r="AI63" s="6"/>
      <c r="AJ63" s="6"/>
      <c r="AK63" s="6"/>
      <c r="AL63" s="6"/>
      <c r="AM63" s="6"/>
    </row>
    <row r="64" spans="1:42" ht="38.25" hidden="1" customHeight="1" x14ac:dyDescent="0.15">
      <c r="T64" s="6" t="s">
        <v>1774</v>
      </c>
      <c r="U64" s="6"/>
      <c r="V64" s="6"/>
      <c r="W64" s="6"/>
      <c r="X64" s="6"/>
      <c r="Y64" s="6"/>
      <c r="Z64" s="6"/>
      <c r="AA64" s="6"/>
      <c r="AB64" s="6"/>
      <c r="AC64" s="6"/>
      <c r="AD64" s="6"/>
      <c r="AE64" s="6"/>
      <c r="AF64" s="6"/>
      <c r="AG64" s="6"/>
      <c r="AH64" s="6"/>
      <c r="AI64" s="6"/>
      <c r="AJ64" s="6"/>
      <c r="AK64" s="6"/>
      <c r="AL64" s="6"/>
      <c r="AM64" s="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5"/>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x14ac:dyDescent="0.15"/>
    <row r="2" spans="5:42"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t="s">
        <v>1720</v>
      </c>
      <c r="AP2" t="str">
        <f t="shared" ref="AP2:AP15" si="0">IF(T2="","",T2)</f>
        <v>Наименование тарифа</v>
      </c>
    </row>
    <row r="3" spans="5:42"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t="s">
        <v>1722</v>
      </c>
      <c r="AP3" t="str">
        <f t="shared" si="0"/>
        <v>Территория действия тарифа</v>
      </c>
    </row>
    <row r="4" spans="5:42" ht="23.25" hidden="1" customHeight="1" x14ac:dyDescent="0.15">
      <c r="E4" s="6"/>
      <c r="F4" s="6"/>
      <c r="G4" s="6">
        <v>1</v>
      </c>
      <c r="S4" t="e">
        <f>INDEX(PT_DIFFERENTIATION_NUM_CS,MATCH(C4,PT_DIFFERENTIATION_CS_ID,0))</f>
        <v>#N/A</v>
      </c>
      <c r="T4" t="s">
        <v>1723</v>
      </c>
      <c r="V4" s="6"/>
      <c r="W4" s="6"/>
      <c r="X4" s="6"/>
      <c r="Y4" s="6"/>
      <c r="Z4" s="6"/>
      <c r="AA4" s="6"/>
      <c r="AB4" s="6"/>
      <c r="AC4" s="6"/>
      <c r="AD4" s="6" t="e">
        <f>INDEX(PT_DIFFERENTIATION_CS,MATCH(C4,PT_DIFFERENTIATION_CS_ID,0))</f>
        <v>#N/A</v>
      </c>
      <c r="AE4" s="6"/>
      <c r="AF4" s="6"/>
      <c r="AG4" s="6"/>
      <c r="AH4" s="6"/>
      <c r="AI4" s="6"/>
      <c r="AJ4" s="6"/>
      <c r="AK4" s="6"/>
      <c r="AL4" s="6"/>
      <c r="AM4" t="s">
        <v>1724</v>
      </c>
      <c r="AP4" t="str">
        <f t="shared" si="0"/>
        <v xml:space="preserve">Наименование системы теплоснабжения </v>
      </c>
    </row>
    <row r="5" spans="5:42" ht="21" hidden="1" customHeight="1" x14ac:dyDescent="0.15">
      <c r="E5" s="6"/>
      <c r="F5" s="6"/>
      <c r="G5" s="6"/>
      <c r="H5" s="6">
        <v>1</v>
      </c>
      <c r="S5" t="e">
        <f>INDEX(PT_DIFFERENTIATION_NUM_IST_TE,MATCH(D5,PT_DIFFERENTIATION_IST_TE_ID,0))</f>
        <v>#N/A</v>
      </c>
      <c r="T5" t="s">
        <v>1725</v>
      </c>
      <c r="V5" s="6"/>
      <c r="W5" s="6"/>
      <c r="X5" s="6"/>
      <c r="Y5" s="6"/>
      <c r="Z5" s="6"/>
      <c r="AA5" s="6"/>
      <c r="AB5" s="6"/>
      <c r="AC5" s="6"/>
      <c r="AD5" s="6" t="e">
        <f>INDEX(PT_DIFFERENTIATION_IST_TE,MATCH(D5,PT_DIFFERENTIATION_IST_TE_ID,0))</f>
        <v>#N/A</v>
      </c>
      <c r="AE5" s="6"/>
      <c r="AF5" s="6"/>
      <c r="AG5" s="6"/>
      <c r="AH5" s="6"/>
      <c r="AI5" s="6"/>
      <c r="AJ5" s="6"/>
      <c r="AK5" s="6"/>
      <c r="AL5" s="6"/>
      <c r="AM5" t="s">
        <v>1726</v>
      </c>
      <c r="AP5" t="str">
        <f t="shared" si="0"/>
        <v xml:space="preserve">Источник тепловой энергии  </v>
      </c>
    </row>
    <row r="6" spans="5:42" ht="14.25" hidden="1" customHeight="1" x14ac:dyDescent="0.15">
      <c r="E6" s="6"/>
      <c r="F6" s="6"/>
      <c r="G6" s="6"/>
      <c r="H6" s="6"/>
      <c r="I6" s="6" t="e">
        <f>S5&amp;".1"</f>
        <v>#N/A</v>
      </c>
      <c r="L6" t="s">
        <v>1727</v>
      </c>
      <c r="P6" s="6">
        <v>1</v>
      </c>
      <c r="V6" s="6"/>
      <c r="W6" s="6"/>
      <c r="X6" s="6"/>
      <c r="Y6" s="6"/>
      <c r="Z6" s="6"/>
      <c r="AA6" s="6"/>
      <c r="AB6" s="6"/>
      <c r="AC6" s="6"/>
      <c r="AD6" s="6"/>
      <c r="AE6" s="6"/>
      <c r="AF6" s="6"/>
      <c r="AG6" s="6"/>
      <c r="AH6" s="6"/>
      <c r="AI6" s="6"/>
      <c r="AJ6" s="6"/>
      <c r="AK6" s="6"/>
      <c r="AL6" s="6"/>
      <c r="AP6" t="str">
        <f t="shared" si="0"/>
        <v/>
      </c>
    </row>
    <row r="7" spans="5:42" ht="21" hidden="1" customHeight="1" x14ac:dyDescent="0.15">
      <c r="E7" s="6"/>
      <c r="F7" s="6"/>
      <c r="G7" s="6"/>
      <c r="H7" s="6"/>
      <c r="I7" s="6"/>
      <c r="J7" s="6" t="e">
        <f>I6&amp;".1"</f>
        <v>#N/A</v>
      </c>
      <c r="L7" t="s">
        <v>1730</v>
      </c>
      <c r="P7" s="6"/>
      <c r="Q7" s="6">
        <v>1</v>
      </c>
      <c r="S7" t="e">
        <f>$J7</f>
        <v>#N/A</v>
      </c>
      <c r="T7" t="s">
        <v>1731</v>
      </c>
      <c r="V7" s="6"/>
      <c r="W7" s="6"/>
      <c r="X7" s="6"/>
      <c r="Y7" s="6"/>
      <c r="Z7" s="6"/>
      <c r="AA7" s="6"/>
      <c r="AB7" s="6"/>
      <c r="AC7" s="6"/>
      <c r="AD7" s="6"/>
      <c r="AE7" s="6"/>
      <c r="AF7" s="6"/>
      <c r="AG7" s="6"/>
      <c r="AH7" s="6"/>
      <c r="AI7" s="6"/>
      <c r="AJ7" s="6"/>
      <c r="AK7" s="6"/>
      <c r="AL7" s="6"/>
      <c r="AM7" t="s">
        <v>1732</v>
      </c>
      <c r="AP7" t="str">
        <f t="shared" si="0"/>
        <v>Группа потребителей</v>
      </c>
    </row>
    <row r="8" spans="5:42" ht="21" hidden="1" customHeight="1" x14ac:dyDescent="0.15">
      <c r="E8" s="6"/>
      <c r="F8" s="6"/>
      <c r="G8" s="6"/>
      <c r="H8" s="6"/>
      <c r="I8" s="6"/>
      <c r="J8" s="6"/>
      <c r="K8" s="6" t="e">
        <f>J7&amp;".1"</f>
        <v>#N/A</v>
      </c>
      <c r="L8" t="s">
        <v>1733</v>
      </c>
      <c r="P8" s="6"/>
      <c r="Q8" s="6"/>
      <c r="R8">
        <v>1</v>
      </c>
      <c r="S8" t="e">
        <f>$K8</f>
        <v>#N/A</v>
      </c>
      <c r="Z8" s="6"/>
      <c r="AA8" s="6" t="s">
        <v>50</v>
      </c>
      <c r="AB8" s="6"/>
      <c r="AC8" s="6" t="s">
        <v>50</v>
      </c>
      <c r="AH8" s="6"/>
      <c r="AI8" s="6" t="s">
        <v>50</v>
      </c>
      <c r="AJ8" s="6"/>
      <c r="AK8" s="6" t="s">
        <v>50</v>
      </c>
      <c r="AM8" s="6" t="s">
        <v>1734</v>
      </c>
      <c r="AN8" t="e">
        <f ca="1">STRCHECKDATE(V9:AL9)</f>
        <v>#NAME?</v>
      </c>
      <c r="AP8" t="str">
        <f t="shared" si="0"/>
        <v/>
      </c>
    </row>
    <row r="9" spans="5:42" ht="0.75" hidden="1" customHeight="1" x14ac:dyDescent="0.15">
      <c r="E9" s="6"/>
      <c r="F9" s="6"/>
      <c r="G9" s="6"/>
      <c r="H9" s="6"/>
      <c r="I9" s="6"/>
      <c r="J9" s="6"/>
      <c r="K9" s="6"/>
      <c r="P9" s="6"/>
      <c r="Q9" s="6"/>
      <c r="Y9" t="str">
        <f>Z8&amp;"-"&amp;AB8</f>
        <v>-</v>
      </c>
      <c r="Z9" s="6"/>
      <c r="AA9" s="6"/>
      <c r="AB9" s="6"/>
      <c r="AC9" s="6"/>
      <c r="AG9" t="str">
        <f>AH8&amp;"-"&amp;AJ8</f>
        <v>-</v>
      </c>
      <c r="AH9" s="6"/>
      <c r="AI9" s="6"/>
      <c r="AJ9" s="6"/>
      <c r="AK9" s="6"/>
      <c r="AM9" s="6"/>
      <c r="AP9" t="str">
        <f t="shared" si="0"/>
        <v/>
      </c>
    </row>
    <row r="10" spans="5:42" ht="15" hidden="1" customHeight="1" x14ac:dyDescent="0.15">
      <c r="E10" s="6"/>
      <c r="F10" s="6"/>
      <c r="G10" s="6"/>
      <c r="H10" s="6"/>
      <c r="I10" s="6"/>
      <c r="J10" s="6"/>
      <c r="P10" s="6"/>
      <c r="Q10" s="6"/>
      <c r="T10" t="s">
        <v>1735</v>
      </c>
      <c r="AM10" s="6"/>
      <c r="AP10" t="str">
        <f t="shared" si="0"/>
        <v>Добавить вид теплоносителя (параметры теплоносителя)</v>
      </c>
    </row>
    <row r="11" spans="5:42" ht="15" hidden="1" customHeight="1" x14ac:dyDescent="0.15">
      <c r="E11" s="6"/>
      <c r="F11" s="6"/>
      <c r="G11" s="6"/>
      <c r="H11" s="6"/>
      <c r="I11" s="6"/>
      <c r="P11" s="6"/>
      <c r="T11" t="s">
        <v>1736</v>
      </c>
      <c r="AP11" t="str">
        <f t="shared" si="0"/>
        <v>Добавить группу потребителей</v>
      </c>
    </row>
    <row r="12" spans="5:42" ht="14.25" hidden="1" customHeight="1" x14ac:dyDescent="0.15">
      <c r="E12" s="6"/>
      <c r="F12" s="6"/>
      <c r="G12" s="6"/>
      <c r="H12" s="6"/>
      <c r="AP12" t="str">
        <f t="shared" si="0"/>
        <v/>
      </c>
    </row>
    <row r="13" spans="5:42" ht="0.75" hidden="1" customHeight="1" x14ac:dyDescent="0.15">
      <c r="E13" s="6"/>
      <c r="F13" s="6"/>
      <c r="G13" s="6"/>
      <c r="T13" t="s">
        <v>1696</v>
      </c>
      <c r="AP13" t="str">
        <f t="shared" si="0"/>
        <v>Добавить источник для дифференциации</v>
      </c>
    </row>
    <row r="14" spans="5:42" ht="0.75" hidden="1" customHeight="1" x14ac:dyDescent="0.15">
      <c r="E14" s="6"/>
      <c r="F14" s="6"/>
      <c r="T14" t="s">
        <v>1697</v>
      </c>
      <c r="AP14" t="str">
        <f t="shared" si="0"/>
        <v>Добавить централизованную систему для дифференциации</v>
      </c>
    </row>
    <row r="15" spans="5:42" ht="0.75" hidden="1" customHeight="1" x14ac:dyDescent="0.15">
      <c r="E15" s="6"/>
      <c r="T15" t="s">
        <v>1698</v>
      </c>
      <c r="AP15" t="str">
        <f t="shared" si="0"/>
        <v>Добавить территорию для дифференциации</v>
      </c>
    </row>
    <row r="16" spans="5:42" ht="14.25" hidden="1" customHeight="1" x14ac:dyDescent="0.15"/>
    <row r="17" spans="15:37" ht="14.25" hidden="1" customHeight="1" x14ac:dyDescent="0.15">
      <c r="AH17" s="6"/>
      <c r="AI17" s="6" t="s">
        <v>50</v>
      </c>
      <c r="AJ17" s="6"/>
      <c r="AK17" s="6" t="s">
        <v>50</v>
      </c>
    </row>
    <row r="18" spans="15:37" ht="14.25" hidden="1" customHeight="1" x14ac:dyDescent="0.15">
      <c r="AG18" t="str">
        <f>AH17&amp;"-"&amp;AJ17</f>
        <v>-</v>
      </c>
      <c r="AH18" s="6"/>
      <c r="AI18" s="6"/>
      <c r="AJ18" s="6"/>
      <c r="AK18" s="6"/>
    </row>
    <row r="19" spans="15:37" ht="14.25" hidden="1" customHeight="1" x14ac:dyDescent="0.15"/>
    <row r="20" spans="15:37" ht="22.5" hidden="1" customHeight="1" x14ac:dyDescent="0.15">
      <c r="O20" t="s">
        <v>1738</v>
      </c>
    </row>
    <row r="21" spans="15:37" ht="14.25" hidden="1" customHeight="1" x14ac:dyDescent="0.15"/>
    <row r="22" spans="15:37" ht="14.25" hidden="1" customHeight="1" x14ac:dyDescent="0.15">
      <c r="O22" t="s">
        <v>1739</v>
      </c>
      <c r="T22" t="s">
        <v>1740</v>
      </c>
      <c r="AA22" t="s">
        <v>1741</v>
      </c>
      <c r="AC22" t="s">
        <v>1742</v>
      </c>
      <c r="AD22" t="s">
        <v>1740</v>
      </c>
      <c r="AI22" t="s">
        <v>1743</v>
      </c>
      <c r="AK22" t="s">
        <v>1742</v>
      </c>
    </row>
    <row r="23" spans="15:37" ht="14.25" hidden="1" customHeight="1" x14ac:dyDescent="0.15"/>
    <row r="24" spans="15:37" ht="14.25" hidden="1" customHeight="1" x14ac:dyDescent="0.15"/>
    <row r="26" spans="15:37" ht="64.5" customHeight="1" x14ac:dyDescent="0.15">
      <c r="S26" s="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6"/>
      <c r="U26" s="6"/>
      <c r="V26" s="6"/>
      <c r="W26" s="6"/>
      <c r="X26" s="6"/>
      <c r="Y26" s="6"/>
      <c r="Z26" s="6"/>
      <c r="AA26" s="6"/>
      <c r="AB26" s="6"/>
      <c r="AC26" s="6"/>
      <c r="AD26" s="6"/>
      <c r="AE26" s="6"/>
      <c r="AF26" s="6"/>
      <c r="AG26" s="6"/>
      <c r="AH26" s="6"/>
      <c r="AI26" s="6"/>
      <c r="AJ26" s="6"/>
    </row>
    <row r="27" spans="15:37" ht="14.25" customHeight="1" x14ac:dyDescent="0.15">
      <c r="S27" s="6" t="str">
        <f>IF(org=0,"Не определено",org)</f>
        <v>КГУП "Примтеплоэнерго"</v>
      </c>
      <c r="T27" s="6"/>
      <c r="U27" s="6"/>
      <c r="V27" s="6"/>
      <c r="W27" s="6"/>
      <c r="X27" s="6"/>
      <c r="Y27" s="6"/>
      <c r="Z27" s="6"/>
      <c r="AA27" s="6"/>
      <c r="AB27" s="6"/>
      <c r="AC27" s="6"/>
      <c r="AD27" s="6"/>
      <c r="AE27" s="6"/>
      <c r="AF27" s="6"/>
      <c r="AG27" s="6"/>
      <c r="AH27" s="6"/>
      <c r="AI27" s="6"/>
      <c r="AJ27" s="6"/>
    </row>
    <row r="28" spans="15:37" ht="14.25" hidden="1" customHeight="1" x14ac:dyDescent="0.15"/>
    <row r="29" spans="15:37" ht="25.5" hidden="1" customHeight="1" x14ac:dyDescent="0.15">
      <c r="S29" s="6" t="s">
        <v>25</v>
      </c>
      <c r="T29" s="6"/>
      <c r="V29" s="6" t="str">
        <f>IF(TITLE_NAME_OR_PR_CHANGE="",IF(TITLE_NAME_OR_PR="","",TITLE_NAME_OR_PR),TITLE_NAME_OR_PR_CHANGE)</f>
        <v/>
      </c>
      <c r="W29" s="6"/>
      <c r="X29" s="6"/>
      <c r="Y29" s="6"/>
      <c r="Z29" s="6"/>
      <c r="AA29" s="6"/>
      <c r="AB29" s="6"/>
      <c r="AD29" s="6" t="str">
        <f>IF(TITLE_NAME_OR_PR_CHANGE="",IF(TITLE_NAME_OR_PR="","",TITLE_NAME_OR_PR),TITLE_NAME_OR_PR_CHANGE)</f>
        <v/>
      </c>
      <c r="AE29" s="6"/>
      <c r="AF29" s="6"/>
      <c r="AG29" s="6"/>
      <c r="AH29" s="6"/>
      <c r="AI29" s="6"/>
      <c r="AJ29" s="6"/>
    </row>
    <row r="30" spans="15:37" ht="18.75" hidden="1" customHeight="1" x14ac:dyDescent="0.15">
      <c r="S30" s="6" t="s">
        <v>1744</v>
      </c>
      <c r="T30" s="6"/>
      <c r="V30" s="6" t="str">
        <f>IF(TITLE_DATE_CHANGE_PERIOD="",IF(TITLE_DATE_PR="","",TITLE_DATE_PR),TITLE_DATE_CHANGE_PERIOD)</f>
        <v/>
      </c>
      <c r="W30" s="6"/>
      <c r="X30" s="6"/>
      <c r="Y30" s="6"/>
      <c r="Z30" s="6"/>
      <c r="AA30" s="6"/>
      <c r="AB30" s="6"/>
      <c r="AD30" s="6" t="str">
        <f>IF(TITLE_DATE_CHANGE_PERIOD="",IF(TITLE_DATE_PR="","",TITLE_DATE_PR),TITLE_DATE_CHANGE_PERIOD)</f>
        <v/>
      </c>
      <c r="AE30" s="6"/>
      <c r="AF30" s="6"/>
      <c r="AG30" s="6"/>
      <c r="AH30" s="6"/>
      <c r="AI30" s="6"/>
      <c r="AJ30" s="6"/>
    </row>
    <row r="31" spans="15:37" ht="18.75" hidden="1" customHeight="1" x14ac:dyDescent="0.15">
      <c r="S31" s="6" t="s">
        <v>1745</v>
      </c>
      <c r="T31" s="6"/>
      <c r="V31" s="6" t="str">
        <f>IF(TITLE_NUMBER_PR_CHANGE="",IF(TITLE_NUMBER_PR="","",TITLE_NUMBER_PR),TITLE_NUMBER_PR_CHANGE)</f>
        <v/>
      </c>
      <c r="W31" s="6"/>
      <c r="X31" s="6"/>
      <c r="Y31" s="6"/>
      <c r="Z31" s="6"/>
      <c r="AA31" s="6"/>
      <c r="AB31" s="6"/>
      <c r="AD31" s="6" t="str">
        <f>IF(TITLE_NUMBER_PR_CHANGE="",IF(TITLE_NUMBER_PR="","",TITLE_NUMBER_PR),TITLE_NUMBER_PR_CHANGE)</f>
        <v/>
      </c>
      <c r="AE31" s="6"/>
      <c r="AF31" s="6"/>
      <c r="AG31" s="6"/>
      <c r="AH31" s="6"/>
      <c r="AI31" s="6"/>
      <c r="AJ31" s="6"/>
    </row>
    <row r="32" spans="15:37" ht="18.75" hidden="1" customHeight="1" x14ac:dyDescent="0.15">
      <c r="S32" s="6" t="s">
        <v>26</v>
      </c>
      <c r="T32" s="6"/>
      <c r="V32" s="6" t="str">
        <f>IF(TITLE_IST_PUB_CHANGE="",IF(TITLE_IST_PUB="","",TITLE_IST_PUB),TITLE_IST_PUB_CHANGE)</f>
        <v/>
      </c>
      <c r="W32" s="6"/>
      <c r="X32" s="6"/>
      <c r="Y32" s="6"/>
      <c r="Z32" s="6"/>
      <c r="AA32" s="6"/>
      <c r="AB32" s="6"/>
      <c r="AD32" s="6" t="str">
        <f>IF(TITLE_IST_PUB_CHANGE="",IF(TITLE_IST_PUB="","",TITLE_IST_PUB),TITLE_IST_PUB_CHANGE)</f>
        <v/>
      </c>
      <c r="AE32" s="6"/>
      <c r="AF32" s="6"/>
      <c r="AG32" s="6"/>
      <c r="AH32" s="6"/>
      <c r="AI32" s="6"/>
      <c r="AJ32" s="6"/>
    </row>
    <row r="33" spans="1:42" ht="14.25" hidden="1" customHeight="1" x14ac:dyDescent="0.15"/>
    <row r="34" spans="1:42" ht="18.75" hidden="1" customHeight="1" x14ac:dyDescent="0.15">
      <c r="S34" s="6" t="s">
        <v>1746</v>
      </c>
      <c r="T34" s="6"/>
      <c r="V34" s="6" t="str">
        <f>IF(TITLE_DATE_CHANGE_PERIOD="",IF(TITLE_DATE_PR="","",TITLE_DATE_PR),TITLE_DATE_CHANGE_PERIOD)</f>
        <v/>
      </c>
      <c r="W34" s="6"/>
      <c r="X34" s="6"/>
      <c r="Y34" s="6"/>
      <c r="Z34" s="6"/>
      <c r="AA34" s="6"/>
      <c r="AB34" s="6"/>
      <c r="AD34" s="6" t="str">
        <f>IF(TITLE_DATE_CHANGE_PERIOD="",IF(TITLE_DATE_PR="","",TITLE_DATE_PR),TITLE_DATE_CHANGE_PERIOD)</f>
        <v/>
      </c>
      <c r="AE34" s="6"/>
      <c r="AF34" s="6"/>
      <c r="AG34" s="6"/>
      <c r="AH34" s="6"/>
      <c r="AI34" s="6"/>
      <c r="AJ34" s="6"/>
    </row>
    <row r="35" spans="1:42" ht="18.75" hidden="1" customHeight="1" x14ac:dyDescent="0.15">
      <c r="S35" s="6" t="s">
        <v>1747</v>
      </c>
      <c r="T35" s="6"/>
      <c r="V35" s="6" t="str">
        <f>IF(TITLE_NUMBER_PR_CHANGE="",IF(TITLE_NUMBER_PR="","",TITLE_NUMBER_PR),TITLE_NUMBER_PR_CHANGE)</f>
        <v/>
      </c>
      <c r="W35" s="6"/>
      <c r="X35" s="6"/>
      <c r="Y35" s="6"/>
      <c r="Z35" s="6"/>
      <c r="AA35" s="6"/>
      <c r="AB35" s="6"/>
      <c r="AD35" s="6" t="str">
        <f>IF(TITLE_NUMBER_PR_CHANGE="",IF(TITLE_NUMBER_PR="","",TITLE_NUMBER_PR),TITLE_NUMBER_PR_CHANGE)</f>
        <v/>
      </c>
      <c r="AE35" s="6"/>
      <c r="AF35" s="6"/>
      <c r="AG35" s="6"/>
      <c r="AH35" s="6"/>
      <c r="AI35" s="6"/>
      <c r="AJ35" s="6"/>
    </row>
    <row r="36" spans="1:42" ht="0" hidden="1" customHeight="1" x14ac:dyDescent="0.15">
      <c r="AC36" t="s">
        <v>1748</v>
      </c>
      <c r="AK36" t="s">
        <v>1748</v>
      </c>
    </row>
    <row r="37" spans="1:42" ht="14.25" customHeight="1" x14ac:dyDescent="0.15">
      <c r="V37" s="6"/>
      <c r="W37" s="6"/>
      <c r="X37" s="6"/>
      <c r="Y37" s="6"/>
      <c r="Z37" s="6"/>
      <c r="AA37" s="6"/>
      <c r="AB37" s="6"/>
      <c r="AC37" s="6"/>
      <c r="AD37" s="6"/>
      <c r="AE37" s="6"/>
      <c r="AF37" s="6"/>
      <c r="AG37" s="6"/>
      <c r="AH37" s="6"/>
      <c r="AI37" s="6"/>
      <c r="AJ37" s="6"/>
      <c r="AK37" s="6"/>
    </row>
    <row r="38" spans="1:42" ht="14.25" customHeight="1" x14ac:dyDescent="0.15">
      <c r="S38" s="6" t="s">
        <v>593</v>
      </c>
      <c r="T38" s="6"/>
      <c r="U38" s="6"/>
      <c r="V38" s="6"/>
      <c r="W38" s="6"/>
      <c r="X38" s="6"/>
      <c r="Y38" s="6"/>
      <c r="Z38" s="6"/>
      <c r="AA38" s="6"/>
      <c r="AB38" s="6"/>
      <c r="AC38" s="6"/>
      <c r="AD38" s="6"/>
      <c r="AE38" s="6"/>
      <c r="AF38" s="6"/>
      <c r="AG38" s="6"/>
      <c r="AH38" s="6"/>
      <c r="AI38" s="6"/>
      <c r="AJ38" s="6"/>
      <c r="AK38" s="6"/>
      <c r="AL38" s="6"/>
      <c r="AM38" s="6" t="s">
        <v>594</v>
      </c>
    </row>
    <row r="39" spans="1:42" ht="14.25" customHeight="1" x14ac:dyDescent="0.15">
      <c r="S39" s="6" t="s">
        <v>75</v>
      </c>
      <c r="T39" s="6" t="s">
        <v>1749</v>
      </c>
      <c r="V39" s="6" t="s">
        <v>1750</v>
      </c>
      <c r="W39" s="6"/>
      <c r="X39" s="6"/>
      <c r="Y39" s="6"/>
      <c r="Z39" s="6"/>
      <c r="AA39" s="6"/>
      <c r="AB39" s="6"/>
      <c r="AC39" s="6" t="s">
        <v>1751</v>
      </c>
      <c r="AD39" s="6" t="s">
        <v>1750</v>
      </c>
      <c r="AE39" s="6"/>
      <c r="AF39" s="6"/>
      <c r="AG39" s="6"/>
      <c r="AH39" s="6"/>
      <c r="AI39" s="6"/>
      <c r="AJ39" s="6"/>
      <c r="AK39" s="6" t="s">
        <v>1752</v>
      </c>
      <c r="AL39" s="6" t="s">
        <v>1753</v>
      </c>
      <c r="AM39" s="6"/>
    </row>
    <row r="40" spans="1:42" ht="33.75" customHeight="1" x14ac:dyDescent="0.15">
      <c r="S40" s="6"/>
      <c r="T40" s="6"/>
      <c r="V40" s="6" t="s">
        <v>1754</v>
      </c>
      <c r="W40" s="6"/>
      <c r="X40" s="6" t="s">
        <v>1756</v>
      </c>
      <c r="Y40" s="6"/>
      <c r="Z40" s="6" t="s">
        <v>1757</v>
      </c>
      <c r="AA40" s="6"/>
      <c r="AB40" s="6"/>
      <c r="AC40" s="6"/>
      <c r="AD40" s="6" t="s">
        <v>1754</v>
      </c>
      <c r="AE40" s="6"/>
      <c r="AF40" s="6" t="s">
        <v>1756</v>
      </c>
      <c r="AG40" s="6"/>
      <c r="AH40" s="6" t="s">
        <v>1757</v>
      </c>
      <c r="AI40" s="6"/>
      <c r="AJ40" s="6"/>
      <c r="AK40" s="6"/>
      <c r="AL40" s="6"/>
      <c r="AM40" s="6"/>
    </row>
    <row r="41" spans="1:42" ht="33.75" customHeight="1" x14ac:dyDescent="0.15">
      <c r="B41" t="s">
        <v>443</v>
      </c>
      <c r="C41" t="s">
        <v>444</v>
      </c>
      <c r="D41" t="s">
        <v>445</v>
      </c>
      <c r="E41" t="s">
        <v>1758</v>
      </c>
      <c r="F41" t="s">
        <v>1759</v>
      </c>
      <c r="G41" t="s">
        <v>1760</v>
      </c>
      <c r="H41" t="s">
        <v>1761</v>
      </c>
      <c r="I41" t="s">
        <v>1762</v>
      </c>
      <c r="J41" t="s">
        <v>1763</v>
      </c>
      <c r="K41" t="s">
        <v>1764</v>
      </c>
      <c r="L41" t="s">
        <v>1739</v>
      </c>
      <c r="S41" s="6"/>
      <c r="T41" s="6"/>
      <c r="V41" s="6"/>
      <c r="W41" s="6"/>
      <c r="X41" t="s">
        <v>1765</v>
      </c>
      <c r="Y41" t="s">
        <v>1766</v>
      </c>
      <c r="Z41" t="s">
        <v>1767</v>
      </c>
      <c r="AA41" s="6" t="s">
        <v>1768</v>
      </c>
      <c r="AB41" s="6"/>
      <c r="AC41" s="6"/>
      <c r="AD41" s="6"/>
      <c r="AE41" s="6"/>
      <c r="AF41" t="s">
        <v>1765</v>
      </c>
      <c r="AG41" t="s">
        <v>1766</v>
      </c>
      <c r="AH41" t="s">
        <v>1767</v>
      </c>
      <c r="AI41" s="6" t="s">
        <v>1768</v>
      </c>
      <c r="AJ41" s="6"/>
      <c r="AK41" s="6"/>
      <c r="AL41" s="6"/>
      <c r="AM41" s="6"/>
    </row>
    <row r="42" spans="1:42" ht="11.25" hidden="1" customHeight="1" x14ac:dyDescent="0.15">
      <c r="R42">
        <v>1</v>
      </c>
      <c r="S42" t="s">
        <v>165</v>
      </c>
      <c r="T42" t="s">
        <v>89</v>
      </c>
      <c r="U42" t="str">
        <f ca="1">OFFSET(U42,0,-1)</f>
        <v>2</v>
      </c>
      <c r="V42">
        <f ca="1">OFFSET(V42,0,-1)+1</f>
        <v>3</v>
      </c>
      <c r="X42">
        <f ca="1">OFFSET(X42,0,-1)+1</f>
        <v>1</v>
      </c>
      <c r="Y42">
        <f ca="1">OFFSET(Y42,0,-1)+1</f>
        <v>2</v>
      </c>
      <c r="Z42">
        <f ca="1">OFFSET(Z42,0,-1)+1</f>
        <v>3</v>
      </c>
      <c r="AA42" s="6">
        <f ca="1">OFFSET(AA42,0,-1)+1</f>
        <v>4</v>
      </c>
      <c r="AB42" s="6"/>
      <c r="AC42">
        <f ca="1">OFFSET(AC42,0,-2)+1</f>
        <v>5</v>
      </c>
      <c r="AD42">
        <f ca="1">OFFSET(AD42,0,-1)+1</f>
        <v>6</v>
      </c>
      <c r="AF42">
        <f ca="1">OFFSET(AF42,0,-1)+1</f>
        <v>1</v>
      </c>
      <c r="AG42">
        <f ca="1">OFFSET(AG42,0,-1)+1</f>
        <v>2</v>
      </c>
      <c r="AH42">
        <f ca="1">OFFSET(AH42,0,-1)+1</f>
        <v>3</v>
      </c>
      <c r="AI42" s="6">
        <f ca="1">OFFSET(AI42,0,-1)+1</f>
        <v>4</v>
      </c>
      <c r="AJ42" s="6"/>
      <c r="AK42">
        <f ca="1">OFFSET(AK42,0,-2)+1</f>
        <v>5</v>
      </c>
      <c r="AL42">
        <f ca="1">OFFSET(AL42,0,-1)</f>
        <v>5</v>
      </c>
      <c r="AM42">
        <f ca="1">OFFSET(AM42,0,-1)+1</f>
        <v>6</v>
      </c>
    </row>
    <row r="43" spans="1:42" ht="21" customHeight="1" x14ac:dyDescent="0.15">
      <c r="A43" t="s">
        <v>472</v>
      </c>
      <c r="E43" s="6">
        <v>1</v>
      </c>
      <c r="S43">
        <f>INDEX(PT_DIFFERENTIATION_NUM_NTAR,MATCH(A43,PT_DIFFERENTIATION_NTAR_ID,0))</f>
        <v>0</v>
      </c>
      <c r="T43" t="s">
        <v>431</v>
      </c>
      <c r="V43" s="6"/>
      <c r="W43" s="6"/>
      <c r="X43" s="6"/>
      <c r="Y43" s="6"/>
      <c r="Z43" s="6"/>
      <c r="AA43" s="6"/>
      <c r="AB43" s="6"/>
      <c r="AC43" s="6"/>
      <c r="AD43" s="6" t="str">
        <f>INDEX(PT_DIFFERENTIATION_NTAR,MATCH(A43,PT_DIFFERENTIATION_NTAR_ID,0))</f>
        <v/>
      </c>
      <c r="AE43" s="6"/>
      <c r="AF43" s="6"/>
      <c r="AG43" s="6"/>
      <c r="AH43" s="6"/>
      <c r="AI43" s="6"/>
      <c r="AJ43" s="6"/>
      <c r="AK43" s="6"/>
      <c r="AL43" s="6"/>
      <c r="AM43" t="s">
        <v>1720</v>
      </c>
      <c r="AP43" t="str">
        <f t="shared" ref="AP43:AP57" si="1">IF(T43="","",T43)</f>
        <v>Наименование тарифа</v>
      </c>
    </row>
    <row r="44" spans="1:42" ht="21" customHeight="1" x14ac:dyDescent="0.15">
      <c r="A44" t="s">
        <v>472</v>
      </c>
      <c r="B44" t="s">
        <v>473</v>
      </c>
      <c r="E44" s="6"/>
      <c r="F44" s="6">
        <v>1</v>
      </c>
      <c r="S44" t="str">
        <f>INDEX(PT_DIFFERENTIATION_NUM_TER,MATCH(B44,PT_DIFFERENTIATION_TER_ID,0))</f>
        <v>.</v>
      </c>
      <c r="T44" t="s">
        <v>1721</v>
      </c>
      <c r="V44" s="6"/>
      <c r="W44" s="6"/>
      <c r="X44" s="6"/>
      <c r="Y44" s="6"/>
      <c r="Z44" s="6"/>
      <c r="AA44" s="6"/>
      <c r="AB44" s="6"/>
      <c r="AC44" s="6"/>
      <c r="AD44" s="6" t="str">
        <f>INDEX(PT_DIFFERENTIATION_TER,MATCH(B44,PT_DIFFERENTIATION_TER_ID,0))</f>
        <v/>
      </c>
      <c r="AE44" s="6"/>
      <c r="AF44" s="6"/>
      <c r="AG44" s="6"/>
      <c r="AH44" s="6"/>
      <c r="AI44" s="6"/>
      <c r="AJ44" s="6"/>
      <c r="AK44" s="6"/>
      <c r="AL44" s="6"/>
      <c r="AM44" t="s">
        <v>1722</v>
      </c>
      <c r="AP44" t="str">
        <f t="shared" si="1"/>
        <v>Территория действия тарифа</v>
      </c>
    </row>
    <row r="45" spans="1:42" ht="23.25" customHeight="1" x14ac:dyDescent="0.15">
      <c r="A45" t="s">
        <v>472</v>
      </c>
      <c r="B45" t="s">
        <v>473</v>
      </c>
      <c r="C45" t="s">
        <v>474</v>
      </c>
      <c r="E45" s="6"/>
      <c r="F45" s="6"/>
      <c r="G45" s="6">
        <v>1</v>
      </c>
      <c r="S45" t="str">
        <f>INDEX(PT_DIFFERENTIATION_NUM_CS,MATCH(C45,PT_DIFFERENTIATION_CS_ID,0))</f>
        <v>..</v>
      </c>
      <c r="T45" t="s">
        <v>1723</v>
      </c>
      <c r="V45" s="6"/>
      <c r="W45" s="6"/>
      <c r="X45" s="6"/>
      <c r="Y45" s="6"/>
      <c r="Z45" s="6"/>
      <c r="AA45" s="6"/>
      <c r="AB45" s="6"/>
      <c r="AC45" s="6"/>
      <c r="AD45" s="6" t="str">
        <f>INDEX(PT_DIFFERENTIATION_CS,MATCH(C45,PT_DIFFERENTIATION_CS_ID,0))</f>
        <v/>
      </c>
      <c r="AE45" s="6"/>
      <c r="AF45" s="6"/>
      <c r="AG45" s="6"/>
      <c r="AH45" s="6"/>
      <c r="AI45" s="6"/>
      <c r="AJ45" s="6"/>
      <c r="AK45" s="6"/>
      <c r="AL45" s="6"/>
      <c r="AM45" t="s">
        <v>1724</v>
      </c>
      <c r="AP45" t="str">
        <f t="shared" si="1"/>
        <v xml:space="preserve">Наименование системы теплоснабжения </v>
      </c>
    </row>
    <row r="46" spans="1:42" ht="21" customHeight="1" x14ac:dyDescent="0.15">
      <c r="A46" t="s">
        <v>472</v>
      </c>
      <c r="B46" t="s">
        <v>473</v>
      </c>
      <c r="C46" t="s">
        <v>474</v>
      </c>
      <c r="D46" t="s">
        <v>475</v>
      </c>
      <c r="E46" s="6"/>
      <c r="F46" s="6"/>
      <c r="G46" s="6"/>
      <c r="H46" s="6">
        <v>1</v>
      </c>
      <c r="S46" t="str">
        <f>INDEX(PT_DIFFERENTIATION_NUM_IST_TE,MATCH(D46,PT_DIFFERENTIATION_IST_TE_ID,0))</f>
        <v>...</v>
      </c>
      <c r="T46" t="s">
        <v>1725</v>
      </c>
      <c r="V46" s="6"/>
      <c r="W46" s="6"/>
      <c r="X46" s="6"/>
      <c r="Y46" s="6"/>
      <c r="Z46" s="6"/>
      <c r="AA46" s="6"/>
      <c r="AB46" s="6"/>
      <c r="AC46" s="6"/>
      <c r="AD46" s="6" t="str">
        <f>INDEX(PT_DIFFERENTIATION_IST_TE,MATCH(D46,PT_DIFFERENTIATION_IST_TE_ID,0))</f>
        <v/>
      </c>
      <c r="AE46" s="6"/>
      <c r="AF46" s="6"/>
      <c r="AG46" s="6"/>
      <c r="AH46" s="6"/>
      <c r="AI46" s="6"/>
      <c r="AJ46" s="6"/>
      <c r="AK46" s="6"/>
      <c r="AL46" s="6"/>
      <c r="AM46" t="s">
        <v>1726</v>
      </c>
      <c r="AP46" t="str">
        <f t="shared" si="1"/>
        <v xml:space="preserve">Источник тепловой энергии  </v>
      </c>
    </row>
    <row r="47" spans="1:42" ht="0" hidden="1" customHeight="1" x14ac:dyDescent="0.15">
      <c r="A47" t="s">
        <v>472</v>
      </c>
      <c r="B47" t="s">
        <v>473</v>
      </c>
      <c r="C47" t="s">
        <v>474</v>
      </c>
      <c r="D47" t="s">
        <v>475</v>
      </c>
      <c r="E47" s="6"/>
      <c r="F47" s="6"/>
      <c r="G47" s="6"/>
      <c r="H47" s="6"/>
      <c r="I47" s="6" t="str">
        <f>S46&amp;".1"</f>
        <v>....1</v>
      </c>
      <c r="L47" t="s">
        <v>1727</v>
      </c>
      <c r="P47" s="6">
        <v>1</v>
      </c>
      <c r="V47" s="6"/>
      <c r="W47" s="6"/>
      <c r="X47" s="6"/>
      <c r="Y47" s="6"/>
      <c r="Z47" s="6"/>
      <c r="AA47" s="6"/>
      <c r="AB47" s="6"/>
      <c r="AC47" s="6"/>
      <c r="AD47" s="6"/>
      <c r="AE47" s="6"/>
      <c r="AF47" s="6"/>
      <c r="AG47" s="6"/>
      <c r="AH47" s="6"/>
      <c r="AI47" s="6"/>
      <c r="AJ47" s="6"/>
      <c r="AK47" s="6"/>
      <c r="AL47" s="6"/>
      <c r="AP47" t="str">
        <f t="shared" si="1"/>
        <v/>
      </c>
    </row>
    <row r="48" spans="1:42" ht="21" customHeight="1" x14ac:dyDescent="0.15">
      <c r="A48" t="s">
        <v>472</v>
      </c>
      <c r="B48" t="s">
        <v>473</v>
      </c>
      <c r="C48" t="s">
        <v>474</v>
      </c>
      <c r="D48" t="s">
        <v>475</v>
      </c>
      <c r="E48" s="6"/>
      <c r="F48" s="6"/>
      <c r="G48" s="6"/>
      <c r="H48" s="6"/>
      <c r="I48" s="6"/>
      <c r="J48" s="6" t="str">
        <f>S46&amp;".1"</f>
        <v>....1</v>
      </c>
      <c r="L48" t="s">
        <v>1730</v>
      </c>
      <c r="P48" s="6"/>
      <c r="Q48" s="6">
        <v>1</v>
      </c>
      <c r="S48" t="str">
        <f>$J48</f>
        <v>....1</v>
      </c>
      <c r="T48" t="s">
        <v>1731</v>
      </c>
      <c r="V48" s="6"/>
      <c r="W48" s="6"/>
      <c r="X48" s="6"/>
      <c r="Y48" s="6"/>
      <c r="Z48" s="6"/>
      <c r="AA48" s="6"/>
      <c r="AB48" s="6"/>
      <c r="AC48" s="6"/>
      <c r="AD48" s="6"/>
      <c r="AE48" s="6"/>
      <c r="AF48" s="6"/>
      <c r="AG48" s="6"/>
      <c r="AH48" s="6"/>
      <c r="AI48" s="6"/>
      <c r="AJ48" s="6"/>
      <c r="AK48" s="6"/>
      <c r="AL48" s="6"/>
      <c r="AM48" t="s">
        <v>1732</v>
      </c>
      <c r="AP48" t="str">
        <f t="shared" si="1"/>
        <v>Группа потребителей</v>
      </c>
    </row>
    <row r="49" spans="1:42" ht="21" customHeight="1" x14ac:dyDescent="0.15">
      <c r="A49" t="s">
        <v>472</v>
      </c>
      <c r="B49" t="s">
        <v>473</v>
      </c>
      <c r="C49" t="s">
        <v>474</v>
      </c>
      <c r="D49" t="s">
        <v>475</v>
      </c>
      <c r="E49" s="6"/>
      <c r="F49" s="6"/>
      <c r="G49" s="6"/>
      <c r="H49" s="6"/>
      <c r="I49" s="6"/>
      <c r="J49" s="6"/>
      <c r="K49" s="6" t="str">
        <f>J48&amp;".1"</f>
        <v>....1.1</v>
      </c>
      <c r="L49" t="s">
        <v>1733</v>
      </c>
      <c r="P49" s="6"/>
      <c r="Q49" s="6"/>
      <c r="R49">
        <v>1</v>
      </c>
      <c r="S49" t="str">
        <f>$K49</f>
        <v>....1.1</v>
      </c>
      <c r="Z49" s="6"/>
      <c r="AA49" s="6" t="s">
        <v>50</v>
      </c>
      <c r="AB49" s="6"/>
      <c r="AC49" s="6" t="s">
        <v>50</v>
      </c>
      <c r="AH49" s="6"/>
      <c r="AI49" s="6" t="s">
        <v>50</v>
      </c>
      <c r="AJ49" s="6"/>
      <c r="AK49" s="6" t="s">
        <v>50</v>
      </c>
      <c r="AM49" s="6" t="s">
        <v>1777</v>
      </c>
      <c r="AN49" t="e">
        <f ca="1">STRCHECKDATE(V50:AL50)</f>
        <v>#NAME?</v>
      </c>
      <c r="AP49" t="str">
        <f t="shared" si="1"/>
        <v/>
      </c>
    </row>
    <row r="50" spans="1:42" ht="0.75" customHeight="1" x14ac:dyDescent="0.15">
      <c r="A50" t="s">
        <v>472</v>
      </c>
      <c r="B50" t="s">
        <v>473</v>
      </c>
      <c r="C50" t="s">
        <v>474</v>
      </c>
      <c r="D50" t="s">
        <v>475</v>
      </c>
      <c r="E50" s="6"/>
      <c r="F50" s="6"/>
      <c r="G50" s="6"/>
      <c r="H50" s="6"/>
      <c r="I50" s="6"/>
      <c r="J50" s="6"/>
      <c r="K50" s="6"/>
      <c r="P50" s="6"/>
      <c r="Q50" s="6"/>
      <c r="Y50" t="str">
        <f>Z49&amp;"-"&amp;AB49</f>
        <v>-</v>
      </c>
      <c r="Z50" s="6"/>
      <c r="AA50" s="6"/>
      <c r="AB50" s="6"/>
      <c r="AC50" s="6"/>
      <c r="AG50" t="str">
        <f>AH49&amp;"-"&amp;AJ49</f>
        <v>-</v>
      </c>
      <c r="AH50" s="6"/>
      <c r="AI50" s="6"/>
      <c r="AJ50" s="6"/>
      <c r="AK50" s="6"/>
      <c r="AM50" s="6"/>
      <c r="AP50" t="str">
        <f t="shared" si="1"/>
        <v/>
      </c>
    </row>
    <row r="51" spans="1:42" ht="11.25" customHeight="1" x14ac:dyDescent="0.15">
      <c r="A51" t="s">
        <v>472</v>
      </c>
      <c r="B51" t="s">
        <v>473</v>
      </c>
      <c r="C51" t="s">
        <v>474</v>
      </c>
      <c r="D51" t="s">
        <v>475</v>
      </c>
      <c r="E51" s="6"/>
      <c r="F51" s="6"/>
      <c r="G51" s="6"/>
      <c r="H51" s="6"/>
      <c r="I51" s="6"/>
      <c r="J51" s="6"/>
      <c r="P51" s="6"/>
      <c r="Q51" s="6"/>
      <c r="T51" t="s">
        <v>1735</v>
      </c>
      <c r="AM51" s="6"/>
      <c r="AP51" t="str">
        <f t="shared" si="1"/>
        <v>Добавить вид теплоносителя (параметры теплоносителя)</v>
      </c>
    </row>
    <row r="52" spans="1:42" ht="11.25" customHeight="1" x14ac:dyDescent="0.15">
      <c r="A52" t="s">
        <v>472</v>
      </c>
      <c r="B52" t="s">
        <v>473</v>
      </c>
      <c r="C52" t="s">
        <v>474</v>
      </c>
      <c r="D52" t="s">
        <v>475</v>
      </c>
      <c r="E52" s="6"/>
      <c r="F52" s="6"/>
      <c r="G52" s="6"/>
      <c r="H52" s="6"/>
      <c r="I52" s="6"/>
      <c r="P52" s="6"/>
      <c r="T52" t="s">
        <v>1736</v>
      </c>
      <c r="AP52" t="str">
        <f t="shared" si="1"/>
        <v>Добавить группу потребителей</v>
      </c>
    </row>
    <row r="53" spans="1:42" ht="0" hidden="1" customHeight="1" x14ac:dyDescent="0.15">
      <c r="A53" t="s">
        <v>472</v>
      </c>
      <c r="B53" t="s">
        <v>473</v>
      </c>
      <c r="C53" t="s">
        <v>474</v>
      </c>
      <c r="D53" t="s">
        <v>475</v>
      </c>
      <c r="E53" s="6"/>
      <c r="F53" s="6"/>
      <c r="G53" s="6"/>
      <c r="H53" s="6"/>
      <c r="AP53" t="str">
        <f t="shared" si="1"/>
        <v/>
      </c>
    </row>
    <row r="54" spans="1:42" ht="0.75" customHeight="1" x14ac:dyDescent="0.15">
      <c r="A54" t="s">
        <v>472</v>
      </c>
      <c r="B54" t="s">
        <v>473</v>
      </c>
      <c r="C54" t="s">
        <v>474</v>
      </c>
      <c r="E54" s="6"/>
      <c r="F54" s="6"/>
      <c r="G54" s="6"/>
      <c r="T54" t="s">
        <v>1696</v>
      </c>
      <c r="AP54" t="str">
        <f t="shared" si="1"/>
        <v>Добавить источник для дифференциации</v>
      </c>
    </row>
    <row r="55" spans="1:42" ht="0.75" customHeight="1" x14ac:dyDescent="0.15">
      <c r="A55" t="s">
        <v>472</v>
      </c>
      <c r="B55" t="s">
        <v>473</v>
      </c>
      <c r="E55" s="6"/>
      <c r="F55" s="6"/>
      <c r="T55" t="s">
        <v>1697</v>
      </c>
      <c r="AP55" t="str">
        <f t="shared" si="1"/>
        <v>Добавить централизованную систему для дифференциации</v>
      </c>
    </row>
    <row r="56" spans="1:42" ht="0.75" customHeight="1" x14ac:dyDescent="0.15">
      <c r="A56" t="s">
        <v>472</v>
      </c>
      <c r="E56" s="6"/>
      <c r="T56" t="s">
        <v>1698</v>
      </c>
      <c r="AP56" t="str">
        <f t="shared" si="1"/>
        <v>Добавить территорию для дифференциации</v>
      </c>
    </row>
    <row r="57" spans="1:42" ht="0.75" customHeight="1" x14ac:dyDescent="0.15">
      <c r="T57" t="s">
        <v>1699</v>
      </c>
      <c r="AP57" t="str">
        <f t="shared" si="1"/>
        <v>Добавить наименование тарифа</v>
      </c>
    </row>
    <row r="58" spans="1:42" ht="11.25" hidden="1" customHeight="1" x14ac:dyDescent="0.15"/>
    <row r="59" spans="1:42" ht="18.75" hidden="1" customHeight="1" x14ac:dyDescent="0.15">
      <c r="S59" t="s">
        <v>1769</v>
      </c>
      <c r="T59" s="6" t="s">
        <v>1778</v>
      </c>
      <c r="U59" s="6"/>
      <c r="V59" s="6"/>
      <c r="W59" s="6"/>
      <c r="X59" s="6"/>
      <c r="Y59" s="6"/>
      <c r="Z59" s="6"/>
      <c r="AA59" s="6"/>
      <c r="AB59" s="6"/>
      <c r="AC59" s="6"/>
      <c r="AD59" s="6"/>
      <c r="AE59" s="6"/>
      <c r="AF59" s="6"/>
      <c r="AG59" s="6"/>
      <c r="AH59" s="6"/>
      <c r="AI59" s="6"/>
      <c r="AJ59" s="6"/>
      <c r="AK59" s="6"/>
      <c r="AL59" s="6"/>
      <c r="AM59" s="6"/>
    </row>
    <row r="60" spans="1:42" ht="27.75" hidden="1" customHeight="1" x14ac:dyDescent="0.15">
      <c r="T60" s="6" t="s">
        <v>1779</v>
      </c>
      <c r="U60" s="6"/>
      <c r="V60" s="6"/>
      <c r="W60" s="6"/>
      <c r="X60" s="6"/>
      <c r="Y60" s="6"/>
      <c r="Z60" s="6"/>
      <c r="AA60" s="6"/>
      <c r="AB60" s="6"/>
      <c r="AC60" s="6"/>
      <c r="AD60" s="6"/>
      <c r="AE60" s="6"/>
      <c r="AF60" s="6"/>
      <c r="AG60" s="6"/>
      <c r="AH60" s="6"/>
      <c r="AI60" s="6"/>
      <c r="AJ60" s="6"/>
      <c r="AK60" s="6"/>
      <c r="AL60" s="6"/>
      <c r="AM60" s="6"/>
    </row>
    <row r="61" spans="1:42" ht="39.75" hidden="1" customHeight="1" x14ac:dyDescent="0.15">
      <c r="T61" s="6" t="s">
        <v>1780</v>
      </c>
      <c r="U61" s="6"/>
      <c r="V61" s="6"/>
      <c r="W61" s="6"/>
      <c r="X61" s="6"/>
      <c r="Y61" s="6"/>
      <c r="Z61" s="6"/>
      <c r="AA61" s="6"/>
      <c r="AB61" s="6"/>
      <c r="AC61" s="6"/>
      <c r="AD61" s="6"/>
      <c r="AE61" s="6"/>
      <c r="AF61" s="6"/>
      <c r="AG61" s="6"/>
      <c r="AH61" s="6"/>
      <c r="AI61" s="6"/>
      <c r="AJ61" s="6"/>
      <c r="AK61" s="6"/>
      <c r="AL61" s="6"/>
      <c r="AM61" s="6"/>
    </row>
    <row r="62" spans="1:42" ht="14.25" hidden="1" customHeight="1" x14ac:dyDescent="0.15"/>
    <row r="63" spans="1:42" ht="19.5" hidden="1" customHeight="1" x14ac:dyDescent="0.15">
      <c r="S63" t="s">
        <v>1769</v>
      </c>
      <c r="T63" s="6" t="s">
        <v>1772</v>
      </c>
      <c r="U63" s="6"/>
      <c r="V63" s="6"/>
      <c r="W63" s="6"/>
      <c r="X63" s="6"/>
      <c r="Y63" s="6"/>
      <c r="Z63" s="6"/>
      <c r="AA63" s="6"/>
      <c r="AB63" s="6"/>
      <c r="AC63" s="6"/>
      <c r="AD63" s="6"/>
      <c r="AE63" s="6"/>
      <c r="AF63" s="6"/>
      <c r="AG63" s="6"/>
      <c r="AH63" s="6"/>
      <c r="AI63" s="6"/>
      <c r="AJ63" s="6"/>
      <c r="AK63" s="6"/>
      <c r="AL63" s="6"/>
      <c r="AM63" s="6"/>
    </row>
    <row r="64" spans="1:42" ht="27.75" hidden="1" customHeight="1" x14ac:dyDescent="0.15">
      <c r="T64" s="6" t="s">
        <v>1781</v>
      </c>
      <c r="U64" s="6"/>
      <c r="V64" s="6"/>
      <c r="W64" s="6"/>
      <c r="X64" s="6"/>
      <c r="Y64" s="6"/>
      <c r="Z64" s="6"/>
      <c r="AA64" s="6"/>
      <c r="AB64" s="6"/>
      <c r="AC64" s="6"/>
      <c r="AD64" s="6"/>
      <c r="AE64" s="6"/>
      <c r="AF64" s="6"/>
      <c r="AG64" s="6"/>
      <c r="AH64" s="6"/>
      <c r="AI64" s="6"/>
      <c r="AJ64" s="6"/>
      <c r="AK64" s="6"/>
      <c r="AL64" s="6"/>
      <c r="AM64" s="6"/>
    </row>
    <row r="65" spans="20:39" ht="33.75" hidden="1" customHeight="1" x14ac:dyDescent="0.15">
      <c r="T65" s="6" t="s">
        <v>1782</v>
      </c>
      <c r="U65" s="6"/>
      <c r="V65" s="6"/>
      <c r="W65" s="6"/>
      <c r="X65" s="6"/>
      <c r="Y65" s="6"/>
      <c r="Z65" s="6"/>
      <c r="AA65" s="6"/>
      <c r="AB65" s="6"/>
      <c r="AC65" s="6"/>
      <c r="AD65" s="6"/>
      <c r="AE65" s="6"/>
      <c r="AF65" s="6"/>
      <c r="AG65" s="6"/>
      <c r="AH65" s="6"/>
      <c r="AI65" s="6"/>
      <c r="AJ65" s="6"/>
      <c r="AK65" s="6"/>
      <c r="AL65" s="6"/>
      <c r="AM65" s="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5"/>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x14ac:dyDescent="0.15"/>
    <row r="2" spans="5:42"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t="s">
        <v>1720</v>
      </c>
      <c r="AP2" t="str">
        <f t="shared" ref="AP2:AP15" si="0">IF(T2="","",T2)</f>
        <v>Наименование тарифа</v>
      </c>
    </row>
    <row r="3" spans="5:42"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t="s">
        <v>1722</v>
      </c>
      <c r="AP3" t="str">
        <f t="shared" si="0"/>
        <v>Территория действия тарифа</v>
      </c>
    </row>
    <row r="4" spans="5:42" ht="23.25" hidden="1" customHeight="1" x14ac:dyDescent="0.15">
      <c r="E4" s="6"/>
      <c r="F4" s="6"/>
      <c r="G4" s="6">
        <v>1</v>
      </c>
      <c r="S4" t="e">
        <f>INDEX(PT_DIFFERENTIATION_NUM_CS,MATCH(C4,PT_DIFFERENTIATION_CS_ID,0))</f>
        <v>#N/A</v>
      </c>
      <c r="T4" t="s">
        <v>1723</v>
      </c>
      <c r="V4" s="6"/>
      <c r="W4" s="6"/>
      <c r="X4" s="6"/>
      <c r="Y4" s="6"/>
      <c r="Z4" s="6"/>
      <c r="AA4" s="6"/>
      <c r="AB4" s="6"/>
      <c r="AC4" s="6"/>
      <c r="AD4" s="6" t="e">
        <f>INDEX(PT_DIFFERENTIATION_CS,MATCH(C4,PT_DIFFERENTIATION_CS_ID,0))</f>
        <v>#N/A</v>
      </c>
      <c r="AE4" s="6"/>
      <c r="AF4" s="6"/>
      <c r="AG4" s="6"/>
      <c r="AH4" s="6"/>
      <c r="AI4" s="6"/>
      <c r="AJ4" s="6"/>
      <c r="AK4" s="6"/>
      <c r="AL4" s="6"/>
      <c r="AM4" t="s">
        <v>1724</v>
      </c>
      <c r="AP4" t="str">
        <f t="shared" si="0"/>
        <v xml:space="preserve">Наименование системы теплоснабжения </v>
      </c>
    </row>
    <row r="5" spans="5:42" ht="21" hidden="1" customHeight="1" x14ac:dyDescent="0.15">
      <c r="E5" s="6"/>
      <c r="F5" s="6"/>
      <c r="G5" s="6"/>
      <c r="H5" s="6">
        <v>1</v>
      </c>
      <c r="S5" t="e">
        <f>INDEX(PT_DIFFERENTIATION_NUM_IST_TE,MATCH(D5,PT_DIFFERENTIATION_IST_TE_ID,0))</f>
        <v>#N/A</v>
      </c>
      <c r="T5" t="s">
        <v>1725</v>
      </c>
      <c r="V5" s="6"/>
      <c r="W5" s="6"/>
      <c r="X5" s="6"/>
      <c r="Y5" s="6"/>
      <c r="Z5" s="6"/>
      <c r="AA5" s="6"/>
      <c r="AB5" s="6"/>
      <c r="AC5" s="6"/>
      <c r="AD5" s="6" t="e">
        <f>INDEX(PT_DIFFERENTIATION_IST_TE,MATCH(D5,PT_DIFFERENTIATION_IST_TE_ID,0))</f>
        <v>#N/A</v>
      </c>
      <c r="AE5" s="6"/>
      <c r="AF5" s="6"/>
      <c r="AG5" s="6"/>
      <c r="AH5" s="6"/>
      <c r="AI5" s="6"/>
      <c r="AJ5" s="6"/>
      <c r="AK5" s="6"/>
      <c r="AL5" s="6"/>
      <c r="AM5" t="s">
        <v>1726</v>
      </c>
      <c r="AP5" t="str">
        <f t="shared" si="0"/>
        <v xml:space="preserve">Источник тепловой энергии  </v>
      </c>
    </row>
    <row r="6" spans="5:42" ht="14.25" hidden="1" customHeight="1" x14ac:dyDescent="0.15">
      <c r="E6" s="6"/>
      <c r="F6" s="6"/>
      <c r="G6" s="6"/>
      <c r="H6" s="6"/>
      <c r="I6" s="6" t="e">
        <f>S5&amp;".1"</f>
        <v>#N/A</v>
      </c>
      <c r="L6" t="s">
        <v>1727</v>
      </c>
      <c r="P6" s="6">
        <v>1</v>
      </c>
      <c r="V6" s="6"/>
      <c r="W6" s="6"/>
      <c r="X6" s="6"/>
      <c r="Y6" s="6"/>
      <c r="Z6" s="6"/>
      <c r="AA6" s="6"/>
      <c r="AB6" s="6"/>
      <c r="AC6" s="6"/>
      <c r="AD6" s="6"/>
      <c r="AE6" s="6"/>
      <c r="AF6" s="6"/>
      <c r="AG6" s="6"/>
      <c r="AH6" s="6"/>
      <c r="AI6" s="6"/>
      <c r="AJ6" s="6"/>
      <c r="AK6" s="6"/>
      <c r="AL6" s="6"/>
      <c r="AP6" t="str">
        <f t="shared" si="0"/>
        <v/>
      </c>
    </row>
    <row r="7" spans="5:42" ht="21" hidden="1" customHeight="1" x14ac:dyDescent="0.15">
      <c r="E7" s="6"/>
      <c r="F7" s="6"/>
      <c r="G7" s="6"/>
      <c r="H7" s="6"/>
      <c r="I7" s="6"/>
      <c r="J7" s="6" t="e">
        <f>I6&amp;".1"</f>
        <v>#N/A</v>
      </c>
      <c r="L7" t="s">
        <v>1730</v>
      </c>
      <c r="P7" s="6"/>
      <c r="Q7" s="6">
        <v>1</v>
      </c>
      <c r="S7" t="e">
        <f>$J7</f>
        <v>#N/A</v>
      </c>
      <c r="T7" t="s">
        <v>1731</v>
      </c>
      <c r="V7" s="6"/>
      <c r="W7" s="6"/>
      <c r="X7" s="6"/>
      <c r="Y7" s="6"/>
      <c r="Z7" s="6"/>
      <c r="AA7" s="6"/>
      <c r="AB7" s="6"/>
      <c r="AC7" s="6"/>
      <c r="AD7" s="6"/>
      <c r="AE7" s="6"/>
      <c r="AF7" s="6"/>
      <c r="AG7" s="6"/>
      <c r="AH7" s="6"/>
      <c r="AI7" s="6"/>
      <c r="AJ7" s="6"/>
      <c r="AK7" s="6"/>
      <c r="AL7" s="6"/>
      <c r="AM7" t="s">
        <v>1732</v>
      </c>
      <c r="AP7" t="str">
        <f t="shared" si="0"/>
        <v>Группа потребителей</v>
      </c>
    </row>
    <row r="8" spans="5:42" ht="21" hidden="1" customHeight="1" x14ac:dyDescent="0.15">
      <c r="E8" s="6"/>
      <c r="F8" s="6"/>
      <c r="G8" s="6"/>
      <c r="H8" s="6"/>
      <c r="I8" s="6"/>
      <c r="J8" s="6"/>
      <c r="K8" s="6" t="e">
        <f>J7&amp;".1"</f>
        <v>#N/A</v>
      </c>
      <c r="L8" t="s">
        <v>1733</v>
      </c>
      <c r="P8" s="6"/>
      <c r="Q8" s="6"/>
      <c r="R8">
        <v>1</v>
      </c>
      <c r="S8" t="e">
        <f>$K8</f>
        <v>#N/A</v>
      </c>
      <c r="Z8" s="6"/>
      <c r="AA8" s="6" t="s">
        <v>50</v>
      </c>
      <c r="AB8" s="6"/>
      <c r="AC8" s="6" t="s">
        <v>50</v>
      </c>
      <c r="AH8" s="6"/>
      <c r="AI8" s="6" t="s">
        <v>50</v>
      </c>
      <c r="AJ8" s="6"/>
      <c r="AK8" s="6" t="s">
        <v>50</v>
      </c>
      <c r="AM8" s="6" t="s">
        <v>1734</v>
      </c>
      <c r="AN8" t="e">
        <f ca="1">STRCHECKDATE(V9:AL9)</f>
        <v>#NAME?</v>
      </c>
      <c r="AP8" t="str">
        <f t="shared" si="0"/>
        <v/>
      </c>
    </row>
    <row r="9" spans="5:42" ht="0.75" hidden="1" customHeight="1" x14ac:dyDescent="0.15">
      <c r="E9" s="6"/>
      <c r="F9" s="6"/>
      <c r="G9" s="6"/>
      <c r="H9" s="6"/>
      <c r="I9" s="6"/>
      <c r="J9" s="6"/>
      <c r="K9" s="6"/>
      <c r="P9" s="6"/>
      <c r="Q9" s="6"/>
      <c r="Y9" t="str">
        <f>Z8&amp;"-"&amp;AB8</f>
        <v>-</v>
      </c>
      <c r="Z9" s="6"/>
      <c r="AA9" s="6"/>
      <c r="AB9" s="6"/>
      <c r="AC9" s="6"/>
      <c r="AG9" t="str">
        <f>AH8&amp;"-"&amp;AJ8</f>
        <v>-</v>
      </c>
      <c r="AH9" s="6"/>
      <c r="AI9" s="6"/>
      <c r="AJ9" s="6"/>
      <c r="AK9" s="6"/>
      <c r="AM9" s="6"/>
      <c r="AP9" t="str">
        <f t="shared" si="0"/>
        <v/>
      </c>
    </row>
    <row r="10" spans="5:42" ht="15" hidden="1" customHeight="1" x14ac:dyDescent="0.15">
      <c r="E10" s="6"/>
      <c r="F10" s="6"/>
      <c r="G10" s="6"/>
      <c r="H10" s="6"/>
      <c r="I10" s="6"/>
      <c r="J10" s="6"/>
      <c r="P10" s="6"/>
      <c r="Q10" s="6"/>
      <c r="T10" t="s">
        <v>1735</v>
      </c>
      <c r="AM10" s="6"/>
      <c r="AP10" t="str">
        <f t="shared" si="0"/>
        <v>Добавить вид теплоносителя (параметры теплоносителя)</v>
      </c>
    </row>
    <row r="11" spans="5:42" ht="15" hidden="1" customHeight="1" x14ac:dyDescent="0.15">
      <c r="E11" s="6"/>
      <c r="F11" s="6"/>
      <c r="G11" s="6"/>
      <c r="H11" s="6"/>
      <c r="I11" s="6"/>
      <c r="P11" s="6"/>
      <c r="T11" t="s">
        <v>1736</v>
      </c>
      <c r="AP11" t="str">
        <f t="shared" si="0"/>
        <v>Добавить группу потребителей</v>
      </c>
    </row>
    <row r="12" spans="5:42" ht="14.25" hidden="1" customHeight="1" x14ac:dyDescent="0.15">
      <c r="E12" s="6"/>
      <c r="F12" s="6"/>
      <c r="G12" s="6"/>
      <c r="H12" s="6"/>
      <c r="AP12" t="str">
        <f t="shared" si="0"/>
        <v/>
      </c>
    </row>
    <row r="13" spans="5:42" ht="0.75" hidden="1" customHeight="1" x14ac:dyDescent="0.15">
      <c r="E13" s="6"/>
      <c r="F13" s="6"/>
      <c r="G13" s="6"/>
      <c r="T13" t="s">
        <v>1696</v>
      </c>
      <c r="AP13" t="str">
        <f t="shared" si="0"/>
        <v>Добавить источник для дифференциации</v>
      </c>
    </row>
    <row r="14" spans="5:42" ht="0.75" hidden="1" customHeight="1" x14ac:dyDescent="0.15">
      <c r="E14" s="6"/>
      <c r="F14" s="6"/>
      <c r="T14" t="s">
        <v>1697</v>
      </c>
      <c r="AP14" t="str">
        <f t="shared" si="0"/>
        <v>Добавить централизованную систему для дифференциации</v>
      </c>
    </row>
    <row r="15" spans="5:42" ht="0.75" hidden="1" customHeight="1" x14ac:dyDescent="0.15">
      <c r="E15" s="6"/>
      <c r="T15" t="s">
        <v>1698</v>
      </c>
      <c r="AP15" t="str">
        <f t="shared" si="0"/>
        <v>Добавить территорию для дифференциации</v>
      </c>
    </row>
    <row r="16" spans="5:42" ht="14.25" hidden="1" customHeight="1" x14ac:dyDescent="0.15"/>
    <row r="17" spans="15:37" ht="14.25" hidden="1" customHeight="1" x14ac:dyDescent="0.15">
      <c r="AH17" s="6"/>
      <c r="AI17" s="6" t="s">
        <v>50</v>
      </c>
      <c r="AJ17" s="6"/>
      <c r="AK17" s="6" t="s">
        <v>50</v>
      </c>
    </row>
    <row r="18" spans="15:37" ht="14.25" hidden="1" customHeight="1" x14ac:dyDescent="0.15">
      <c r="AG18" t="str">
        <f>AH17&amp;"-"&amp;AJ17</f>
        <v>-</v>
      </c>
      <c r="AH18" s="6"/>
      <c r="AI18" s="6"/>
      <c r="AJ18" s="6"/>
      <c r="AK18" s="6"/>
    </row>
    <row r="19" spans="15:37" ht="14.25" hidden="1" customHeight="1" x14ac:dyDescent="0.15"/>
    <row r="20" spans="15:37" ht="22.5" hidden="1" customHeight="1" x14ac:dyDescent="0.15">
      <c r="O20" t="s">
        <v>1738</v>
      </c>
    </row>
    <row r="21" spans="15:37" ht="14.25" hidden="1" customHeight="1" x14ac:dyDescent="0.15"/>
    <row r="22" spans="15:37" ht="14.25" hidden="1" customHeight="1" x14ac:dyDescent="0.15">
      <c r="O22" t="s">
        <v>1739</v>
      </c>
      <c r="T22" t="s">
        <v>1740</v>
      </c>
      <c r="AA22" t="s">
        <v>1741</v>
      </c>
      <c r="AC22" t="s">
        <v>1742</v>
      </c>
      <c r="AD22" t="s">
        <v>1740</v>
      </c>
      <c r="AI22" t="s">
        <v>1743</v>
      </c>
      <c r="AK22" t="s">
        <v>1742</v>
      </c>
    </row>
    <row r="23" spans="15:37" ht="14.25" hidden="1" customHeight="1" x14ac:dyDescent="0.15"/>
    <row r="24" spans="15:37" ht="14.25" hidden="1" customHeight="1" x14ac:dyDescent="0.15"/>
    <row r="26" spans="15:37" ht="64.5" customHeight="1" x14ac:dyDescent="0.15">
      <c r="S26" s="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6"/>
      <c r="U26" s="6"/>
      <c r="V26" s="6"/>
      <c r="W26" s="6"/>
      <c r="X26" s="6"/>
      <c r="Y26" s="6"/>
      <c r="Z26" s="6"/>
      <c r="AA26" s="6"/>
      <c r="AB26" s="6"/>
      <c r="AC26" s="6"/>
      <c r="AD26" s="6"/>
      <c r="AE26" s="6"/>
      <c r="AF26" s="6"/>
      <c r="AG26" s="6"/>
      <c r="AH26" s="6"/>
      <c r="AI26" s="6"/>
      <c r="AJ26" s="6"/>
    </row>
    <row r="27" spans="15:37" ht="14.25" customHeight="1" x14ac:dyDescent="0.15">
      <c r="S27" s="6" t="str">
        <f>IF(org=0,"Не определено",org)</f>
        <v>КГУП "Примтеплоэнерго"</v>
      </c>
      <c r="T27" s="6"/>
      <c r="U27" s="6"/>
      <c r="V27" s="6"/>
      <c r="W27" s="6"/>
      <c r="X27" s="6"/>
      <c r="Y27" s="6"/>
      <c r="Z27" s="6"/>
      <c r="AA27" s="6"/>
      <c r="AB27" s="6"/>
      <c r="AC27" s="6"/>
      <c r="AD27" s="6"/>
      <c r="AE27" s="6"/>
      <c r="AF27" s="6"/>
      <c r="AG27" s="6"/>
      <c r="AH27" s="6"/>
      <c r="AI27" s="6"/>
      <c r="AJ27" s="6"/>
    </row>
    <row r="28" spans="15:37" ht="14.25" hidden="1" customHeight="1" x14ac:dyDescent="0.15"/>
    <row r="29" spans="15:37" ht="25.5" hidden="1" customHeight="1" x14ac:dyDescent="0.15">
      <c r="S29" s="6" t="s">
        <v>25</v>
      </c>
      <c r="T29" s="6"/>
      <c r="V29" s="6" t="str">
        <f>IF(TITLE_NAME_OR_PR_CHANGE="",IF(TITLE_NAME_OR_PR="","",TITLE_NAME_OR_PR),TITLE_NAME_OR_PR_CHANGE)</f>
        <v/>
      </c>
      <c r="W29" s="6"/>
      <c r="X29" s="6"/>
      <c r="Y29" s="6"/>
      <c r="Z29" s="6"/>
      <c r="AA29" s="6"/>
      <c r="AB29" s="6"/>
      <c r="AD29" s="6" t="str">
        <f>IF(TITLE_NAME_OR_PR_CHANGE="",IF(TITLE_NAME_OR_PR="","",TITLE_NAME_OR_PR),TITLE_NAME_OR_PR_CHANGE)</f>
        <v/>
      </c>
      <c r="AE29" s="6"/>
      <c r="AF29" s="6"/>
      <c r="AG29" s="6"/>
      <c r="AH29" s="6"/>
      <c r="AI29" s="6"/>
      <c r="AJ29" s="6"/>
    </row>
    <row r="30" spans="15:37" ht="18.75" hidden="1" customHeight="1" x14ac:dyDescent="0.15">
      <c r="S30" s="6" t="s">
        <v>1744</v>
      </c>
      <c r="T30" s="6"/>
      <c r="V30" s="6" t="str">
        <f>IF(TITLE_DATE_CHANGE_PERIOD="",IF(TITLE_DATE_PR="","",TITLE_DATE_PR),TITLE_DATE_CHANGE_PERIOD)</f>
        <v/>
      </c>
      <c r="W30" s="6"/>
      <c r="X30" s="6"/>
      <c r="Y30" s="6"/>
      <c r="Z30" s="6"/>
      <c r="AA30" s="6"/>
      <c r="AB30" s="6"/>
      <c r="AD30" s="6" t="str">
        <f>IF(TITLE_DATE_CHANGE_PERIOD="",IF(TITLE_DATE_PR="","",TITLE_DATE_PR),TITLE_DATE_CHANGE_PERIOD)</f>
        <v/>
      </c>
      <c r="AE30" s="6"/>
      <c r="AF30" s="6"/>
      <c r="AG30" s="6"/>
      <c r="AH30" s="6"/>
      <c r="AI30" s="6"/>
      <c r="AJ30" s="6"/>
    </row>
    <row r="31" spans="15:37" ht="18.75" hidden="1" customHeight="1" x14ac:dyDescent="0.15">
      <c r="S31" s="6" t="s">
        <v>1745</v>
      </c>
      <c r="T31" s="6"/>
      <c r="V31" s="6" t="str">
        <f>IF(TITLE_NUMBER_PR_CHANGE="",IF(TITLE_NUMBER_PR="","",TITLE_NUMBER_PR),TITLE_NUMBER_PR_CHANGE)</f>
        <v/>
      </c>
      <c r="W31" s="6"/>
      <c r="X31" s="6"/>
      <c r="Y31" s="6"/>
      <c r="Z31" s="6"/>
      <c r="AA31" s="6"/>
      <c r="AB31" s="6"/>
      <c r="AD31" s="6" t="str">
        <f>IF(TITLE_NUMBER_PR_CHANGE="",IF(TITLE_NUMBER_PR="","",TITLE_NUMBER_PR),TITLE_NUMBER_PR_CHANGE)</f>
        <v/>
      </c>
      <c r="AE31" s="6"/>
      <c r="AF31" s="6"/>
      <c r="AG31" s="6"/>
      <c r="AH31" s="6"/>
      <c r="AI31" s="6"/>
      <c r="AJ31" s="6"/>
    </row>
    <row r="32" spans="15:37" ht="18.75" hidden="1" customHeight="1" x14ac:dyDescent="0.15">
      <c r="S32" s="6" t="s">
        <v>26</v>
      </c>
      <c r="T32" s="6"/>
      <c r="V32" s="6" t="str">
        <f>IF(TITLE_IST_PUB_CHANGE="",IF(TITLE_IST_PUB="","",TITLE_IST_PUB),TITLE_IST_PUB_CHANGE)</f>
        <v/>
      </c>
      <c r="W32" s="6"/>
      <c r="X32" s="6"/>
      <c r="Y32" s="6"/>
      <c r="Z32" s="6"/>
      <c r="AA32" s="6"/>
      <c r="AB32" s="6"/>
      <c r="AD32" s="6" t="str">
        <f>IF(TITLE_IST_PUB_CHANGE="",IF(TITLE_IST_PUB="","",TITLE_IST_PUB),TITLE_IST_PUB_CHANGE)</f>
        <v/>
      </c>
      <c r="AE32" s="6"/>
      <c r="AF32" s="6"/>
      <c r="AG32" s="6"/>
      <c r="AH32" s="6"/>
      <c r="AI32" s="6"/>
      <c r="AJ32" s="6"/>
    </row>
    <row r="33" spans="1:42" ht="14.25" hidden="1" customHeight="1" x14ac:dyDescent="0.15"/>
    <row r="34" spans="1:42" ht="18.75" hidden="1" customHeight="1" x14ac:dyDescent="0.15">
      <c r="S34" s="6" t="s">
        <v>1746</v>
      </c>
      <c r="T34" s="6"/>
      <c r="V34" s="6" t="str">
        <f>IF(TITLE_DATE_CHANGE_PERIOD="",IF(TITLE_DATE_PR="","",TITLE_DATE_PR),TITLE_DATE_CHANGE_PERIOD)</f>
        <v/>
      </c>
      <c r="W34" s="6"/>
      <c r="X34" s="6"/>
      <c r="Y34" s="6"/>
      <c r="Z34" s="6"/>
      <c r="AA34" s="6"/>
      <c r="AB34" s="6"/>
      <c r="AD34" s="6" t="str">
        <f>IF(TITLE_DATE_CHANGE_PERIOD="",IF(TITLE_DATE_PR="","",TITLE_DATE_PR),TITLE_DATE_CHANGE_PERIOD)</f>
        <v/>
      </c>
      <c r="AE34" s="6"/>
      <c r="AF34" s="6"/>
      <c r="AG34" s="6"/>
      <c r="AH34" s="6"/>
      <c r="AI34" s="6"/>
      <c r="AJ34" s="6"/>
    </row>
    <row r="35" spans="1:42" ht="18.75" hidden="1" customHeight="1" x14ac:dyDescent="0.15">
      <c r="S35" s="6" t="s">
        <v>1747</v>
      </c>
      <c r="T35" s="6"/>
      <c r="V35" s="6" t="str">
        <f>IF(TITLE_NUMBER_PR_CHANGE="",IF(TITLE_NUMBER_PR="","",TITLE_NUMBER_PR),TITLE_NUMBER_PR_CHANGE)</f>
        <v/>
      </c>
      <c r="W35" s="6"/>
      <c r="X35" s="6"/>
      <c r="Y35" s="6"/>
      <c r="Z35" s="6"/>
      <c r="AA35" s="6"/>
      <c r="AB35" s="6"/>
      <c r="AD35" s="6" t="str">
        <f>IF(TITLE_NUMBER_PR_CHANGE="",IF(TITLE_NUMBER_PR="","",TITLE_NUMBER_PR),TITLE_NUMBER_PR_CHANGE)</f>
        <v/>
      </c>
      <c r="AE35" s="6"/>
      <c r="AF35" s="6"/>
      <c r="AG35" s="6"/>
      <c r="AH35" s="6"/>
      <c r="AI35" s="6"/>
      <c r="AJ35" s="6"/>
    </row>
    <row r="36" spans="1:42" ht="0" hidden="1" customHeight="1" x14ac:dyDescent="0.15">
      <c r="AC36" t="s">
        <v>1748</v>
      </c>
      <c r="AK36" t="s">
        <v>1748</v>
      </c>
    </row>
    <row r="37" spans="1:42" ht="14.25" customHeight="1" x14ac:dyDescent="0.15">
      <c r="V37" s="6"/>
      <c r="W37" s="6"/>
      <c r="X37" s="6"/>
      <c r="Y37" s="6"/>
      <c r="Z37" s="6"/>
      <c r="AA37" s="6"/>
      <c r="AB37" s="6"/>
      <c r="AC37" s="6"/>
      <c r="AD37" s="6"/>
      <c r="AE37" s="6"/>
      <c r="AF37" s="6"/>
      <c r="AG37" s="6"/>
      <c r="AH37" s="6"/>
      <c r="AI37" s="6"/>
      <c r="AJ37" s="6"/>
      <c r="AK37" s="6"/>
    </row>
    <row r="38" spans="1:42" ht="14.25" customHeight="1" x14ac:dyDescent="0.15">
      <c r="S38" s="6" t="s">
        <v>593</v>
      </c>
      <c r="T38" s="6"/>
      <c r="U38" s="6"/>
      <c r="V38" s="6"/>
      <c r="W38" s="6"/>
      <c r="X38" s="6"/>
      <c r="Y38" s="6"/>
      <c r="Z38" s="6"/>
      <c r="AA38" s="6"/>
      <c r="AB38" s="6"/>
      <c r="AC38" s="6"/>
      <c r="AD38" s="6"/>
      <c r="AE38" s="6"/>
      <c r="AF38" s="6"/>
      <c r="AG38" s="6"/>
      <c r="AH38" s="6"/>
      <c r="AI38" s="6"/>
      <c r="AJ38" s="6"/>
      <c r="AK38" s="6"/>
      <c r="AL38" s="6"/>
      <c r="AM38" s="6" t="s">
        <v>594</v>
      </c>
    </row>
    <row r="39" spans="1:42" ht="14.25" customHeight="1" x14ac:dyDescent="0.15">
      <c r="S39" s="6" t="s">
        <v>75</v>
      </c>
      <c r="T39" s="6" t="s">
        <v>1749</v>
      </c>
      <c r="V39" s="6" t="s">
        <v>1750</v>
      </c>
      <c r="W39" s="6"/>
      <c r="X39" s="6"/>
      <c r="Y39" s="6"/>
      <c r="Z39" s="6"/>
      <c r="AA39" s="6"/>
      <c r="AB39" s="6"/>
      <c r="AC39" s="6" t="s">
        <v>1751</v>
      </c>
      <c r="AD39" s="6" t="s">
        <v>1750</v>
      </c>
      <c r="AE39" s="6"/>
      <c r="AF39" s="6"/>
      <c r="AG39" s="6"/>
      <c r="AH39" s="6"/>
      <c r="AI39" s="6"/>
      <c r="AJ39" s="6"/>
      <c r="AK39" s="6" t="s">
        <v>1752</v>
      </c>
      <c r="AL39" s="6" t="s">
        <v>1753</v>
      </c>
      <c r="AM39" s="6"/>
    </row>
    <row r="40" spans="1:42" ht="33.75" customHeight="1" x14ac:dyDescent="0.15">
      <c r="S40" s="6"/>
      <c r="T40" s="6"/>
      <c r="V40" s="6" t="s">
        <v>1754</v>
      </c>
      <c r="W40" s="6"/>
      <c r="X40" s="6" t="s">
        <v>1756</v>
      </c>
      <c r="Y40" s="6"/>
      <c r="Z40" s="6" t="s">
        <v>1757</v>
      </c>
      <c r="AA40" s="6"/>
      <c r="AB40" s="6"/>
      <c r="AC40" s="6"/>
      <c r="AD40" s="6" t="s">
        <v>1754</v>
      </c>
      <c r="AE40" s="6"/>
      <c r="AF40" s="6" t="s">
        <v>1756</v>
      </c>
      <c r="AG40" s="6"/>
      <c r="AH40" s="6" t="s">
        <v>1757</v>
      </c>
      <c r="AI40" s="6"/>
      <c r="AJ40" s="6"/>
      <c r="AK40" s="6"/>
      <c r="AL40" s="6"/>
      <c r="AM40" s="6"/>
    </row>
    <row r="41" spans="1:42" ht="33.75" customHeight="1" x14ac:dyDescent="0.15">
      <c r="B41" t="s">
        <v>443</v>
      </c>
      <c r="C41" t="s">
        <v>444</v>
      </c>
      <c r="D41" t="s">
        <v>445</v>
      </c>
      <c r="E41" t="s">
        <v>1758</v>
      </c>
      <c r="F41" t="s">
        <v>1759</v>
      </c>
      <c r="G41" t="s">
        <v>1760</v>
      </c>
      <c r="H41" t="s">
        <v>1761</v>
      </c>
      <c r="I41" t="s">
        <v>1762</v>
      </c>
      <c r="J41" t="s">
        <v>1763</v>
      </c>
      <c r="K41" t="s">
        <v>1764</v>
      </c>
      <c r="L41" t="s">
        <v>1739</v>
      </c>
      <c r="S41" s="6"/>
      <c r="T41" s="6"/>
      <c r="V41" s="6"/>
      <c r="W41" s="6"/>
      <c r="X41" t="s">
        <v>1765</v>
      </c>
      <c r="Y41" t="s">
        <v>1766</v>
      </c>
      <c r="Z41" t="s">
        <v>1767</v>
      </c>
      <c r="AA41" s="6" t="s">
        <v>1768</v>
      </c>
      <c r="AB41" s="6"/>
      <c r="AC41" s="6"/>
      <c r="AD41" s="6"/>
      <c r="AE41" s="6"/>
      <c r="AF41" t="s">
        <v>1765</v>
      </c>
      <c r="AG41" t="s">
        <v>1766</v>
      </c>
      <c r="AH41" t="s">
        <v>1767</v>
      </c>
      <c r="AI41" s="6" t="s">
        <v>1768</v>
      </c>
      <c r="AJ41" s="6"/>
      <c r="AK41" s="6"/>
      <c r="AL41" s="6"/>
      <c r="AM41" s="6"/>
    </row>
    <row r="42" spans="1:42" ht="11.25" hidden="1" customHeight="1" x14ac:dyDescent="0.15">
      <c r="R42">
        <v>1</v>
      </c>
      <c r="S42" t="s">
        <v>165</v>
      </c>
      <c r="T42" t="s">
        <v>89</v>
      </c>
      <c r="U42" t="str">
        <f ca="1">OFFSET(U42,0,-1)</f>
        <v>2</v>
      </c>
      <c r="V42">
        <f ca="1">OFFSET(V42,0,-1)+1</f>
        <v>3</v>
      </c>
      <c r="X42">
        <f ca="1">OFFSET(X42,0,-1)+1</f>
        <v>1</v>
      </c>
      <c r="Y42">
        <f ca="1">OFFSET(Y42,0,-1)+1</f>
        <v>2</v>
      </c>
      <c r="Z42">
        <f ca="1">OFFSET(Z42,0,-1)+1</f>
        <v>3</v>
      </c>
      <c r="AA42" s="6">
        <f ca="1">OFFSET(AA42,0,-1)+1</f>
        <v>4</v>
      </c>
      <c r="AB42" s="6"/>
      <c r="AC42">
        <f ca="1">OFFSET(AC42,0,-2)+1</f>
        <v>5</v>
      </c>
      <c r="AD42">
        <f ca="1">OFFSET(AD42,0,-1)+1</f>
        <v>6</v>
      </c>
      <c r="AF42">
        <f ca="1">OFFSET(AF42,0,-1)+1</f>
        <v>1</v>
      </c>
      <c r="AG42">
        <f ca="1">OFFSET(AG42,0,-1)+1</f>
        <v>2</v>
      </c>
      <c r="AH42">
        <f ca="1">OFFSET(AH42,0,-1)+1</f>
        <v>3</v>
      </c>
      <c r="AI42" s="6">
        <f ca="1">OFFSET(AI42,0,-1)+1</f>
        <v>4</v>
      </c>
      <c r="AJ42" s="6"/>
      <c r="AK42">
        <f ca="1">OFFSET(AK42,0,-2)+1</f>
        <v>5</v>
      </c>
      <c r="AL42">
        <f ca="1">OFFSET(AL42,0,-1)</f>
        <v>5</v>
      </c>
      <c r="AM42">
        <f ca="1">OFFSET(AM42,0,-1)+1</f>
        <v>6</v>
      </c>
    </row>
    <row r="43" spans="1:42" ht="21" customHeight="1" x14ac:dyDescent="0.15">
      <c r="A43" t="s">
        <v>484</v>
      </c>
      <c r="E43" s="6">
        <v>1</v>
      </c>
      <c r="S43">
        <f>INDEX(PT_DIFFERENTIATION_NUM_NTAR,MATCH(A43,PT_DIFFERENTIATION_NTAR_ID,0))</f>
        <v>0</v>
      </c>
      <c r="T43" t="s">
        <v>431</v>
      </c>
      <c r="V43" s="6"/>
      <c r="W43" s="6"/>
      <c r="X43" s="6"/>
      <c r="Y43" s="6"/>
      <c r="Z43" s="6"/>
      <c r="AA43" s="6"/>
      <c r="AB43" s="6"/>
      <c r="AC43" s="6"/>
      <c r="AD43" s="6" t="str">
        <f>INDEX(PT_DIFFERENTIATION_NTAR,MATCH(A43,PT_DIFFERENTIATION_NTAR_ID,0))</f>
        <v/>
      </c>
      <c r="AE43" s="6"/>
      <c r="AF43" s="6"/>
      <c r="AG43" s="6"/>
      <c r="AH43" s="6"/>
      <c r="AI43" s="6"/>
      <c r="AJ43" s="6"/>
      <c r="AK43" s="6"/>
      <c r="AL43" s="6"/>
      <c r="AM43" t="s">
        <v>1720</v>
      </c>
      <c r="AP43" t="str">
        <f t="shared" ref="AP43:AP57" si="1">IF(T43="","",T43)</f>
        <v>Наименование тарифа</v>
      </c>
    </row>
    <row r="44" spans="1:42" ht="21" customHeight="1" x14ac:dyDescent="0.15">
      <c r="A44" t="s">
        <v>484</v>
      </c>
      <c r="B44" t="s">
        <v>485</v>
      </c>
      <c r="E44" s="6"/>
      <c r="F44" s="6">
        <v>1</v>
      </c>
      <c r="S44" t="str">
        <f>INDEX(PT_DIFFERENTIATION_NUM_TER,MATCH(B44,PT_DIFFERENTIATION_TER_ID,0))</f>
        <v>.</v>
      </c>
      <c r="T44" t="s">
        <v>1721</v>
      </c>
      <c r="V44" s="6"/>
      <c r="W44" s="6"/>
      <c r="X44" s="6"/>
      <c r="Y44" s="6"/>
      <c r="Z44" s="6"/>
      <c r="AA44" s="6"/>
      <c r="AB44" s="6"/>
      <c r="AC44" s="6"/>
      <c r="AD44" s="6" t="str">
        <f>INDEX(PT_DIFFERENTIATION_TER,MATCH(B44,PT_DIFFERENTIATION_TER_ID,0))</f>
        <v/>
      </c>
      <c r="AE44" s="6"/>
      <c r="AF44" s="6"/>
      <c r="AG44" s="6"/>
      <c r="AH44" s="6"/>
      <c r="AI44" s="6"/>
      <c r="AJ44" s="6"/>
      <c r="AK44" s="6"/>
      <c r="AL44" s="6"/>
      <c r="AM44" t="s">
        <v>1722</v>
      </c>
      <c r="AP44" t="str">
        <f t="shared" si="1"/>
        <v>Территория действия тарифа</v>
      </c>
    </row>
    <row r="45" spans="1:42" ht="23.25" customHeight="1" x14ac:dyDescent="0.15">
      <c r="A45" t="s">
        <v>484</v>
      </c>
      <c r="B45" t="s">
        <v>485</v>
      </c>
      <c r="C45" t="s">
        <v>486</v>
      </c>
      <c r="E45" s="6"/>
      <c r="F45" s="6"/>
      <c r="G45" s="6">
        <v>1</v>
      </c>
      <c r="S45" t="str">
        <f>INDEX(PT_DIFFERENTIATION_NUM_CS,MATCH(C45,PT_DIFFERENTIATION_CS_ID,0))</f>
        <v>..</v>
      </c>
      <c r="T45" t="s">
        <v>1723</v>
      </c>
      <c r="V45" s="6"/>
      <c r="W45" s="6"/>
      <c r="X45" s="6"/>
      <c r="Y45" s="6"/>
      <c r="Z45" s="6"/>
      <c r="AA45" s="6"/>
      <c r="AB45" s="6"/>
      <c r="AC45" s="6"/>
      <c r="AD45" s="6" t="str">
        <f>INDEX(PT_DIFFERENTIATION_CS,MATCH(C45,PT_DIFFERENTIATION_CS_ID,0))</f>
        <v/>
      </c>
      <c r="AE45" s="6"/>
      <c r="AF45" s="6"/>
      <c r="AG45" s="6"/>
      <c r="AH45" s="6"/>
      <c r="AI45" s="6"/>
      <c r="AJ45" s="6"/>
      <c r="AK45" s="6"/>
      <c r="AL45" s="6"/>
      <c r="AM45" t="s">
        <v>1724</v>
      </c>
      <c r="AP45" t="str">
        <f t="shared" si="1"/>
        <v xml:space="preserve">Наименование системы теплоснабжения </v>
      </c>
    </row>
    <row r="46" spans="1:42" ht="21" customHeight="1" x14ac:dyDescent="0.15">
      <c r="A46" t="s">
        <v>484</v>
      </c>
      <c r="B46" t="s">
        <v>485</v>
      </c>
      <c r="C46" t="s">
        <v>486</v>
      </c>
      <c r="D46" t="s">
        <v>487</v>
      </c>
      <c r="E46" s="6"/>
      <c r="F46" s="6"/>
      <c r="G46" s="6"/>
      <c r="H46" s="6">
        <v>1</v>
      </c>
      <c r="S46" t="str">
        <f>INDEX(PT_DIFFERENTIATION_NUM_IST_TE,MATCH(D46,PT_DIFFERENTIATION_IST_TE_ID,0))</f>
        <v>...</v>
      </c>
      <c r="T46" t="s">
        <v>1725</v>
      </c>
      <c r="V46" s="6"/>
      <c r="W46" s="6"/>
      <c r="X46" s="6"/>
      <c r="Y46" s="6"/>
      <c r="Z46" s="6"/>
      <c r="AA46" s="6"/>
      <c r="AB46" s="6"/>
      <c r="AC46" s="6"/>
      <c r="AD46" s="6" t="str">
        <f>INDEX(PT_DIFFERENTIATION_IST_TE,MATCH(D46,PT_DIFFERENTIATION_IST_TE_ID,0))</f>
        <v/>
      </c>
      <c r="AE46" s="6"/>
      <c r="AF46" s="6"/>
      <c r="AG46" s="6"/>
      <c r="AH46" s="6"/>
      <c r="AI46" s="6"/>
      <c r="AJ46" s="6"/>
      <c r="AK46" s="6"/>
      <c r="AL46" s="6"/>
      <c r="AM46" t="s">
        <v>1726</v>
      </c>
      <c r="AP46" t="str">
        <f t="shared" si="1"/>
        <v xml:space="preserve">Источник тепловой энергии  </v>
      </c>
    </row>
    <row r="47" spans="1:42" ht="0" hidden="1" customHeight="1" x14ac:dyDescent="0.15">
      <c r="A47" t="s">
        <v>484</v>
      </c>
      <c r="B47" t="s">
        <v>485</v>
      </c>
      <c r="C47" t="s">
        <v>486</v>
      </c>
      <c r="D47" t="s">
        <v>487</v>
      </c>
      <c r="E47" s="6"/>
      <c r="F47" s="6"/>
      <c r="G47" s="6"/>
      <c r="H47" s="6"/>
      <c r="I47" s="6" t="str">
        <f>S46&amp;".1"</f>
        <v>....1</v>
      </c>
      <c r="L47" t="s">
        <v>1727</v>
      </c>
      <c r="P47" s="6">
        <v>1</v>
      </c>
      <c r="V47" s="6"/>
      <c r="W47" s="6"/>
      <c r="X47" s="6"/>
      <c r="Y47" s="6"/>
      <c r="Z47" s="6"/>
      <c r="AA47" s="6"/>
      <c r="AB47" s="6"/>
      <c r="AC47" s="6"/>
      <c r="AD47" s="6"/>
      <c r="AE47" s="6"/>
      <c r="AF47" s="6"/>
      <c r="AG47" s="6"/>
      <c r="AH47" s="6"/>
      <c r="AI47" s="6"/>
      <c r="AJ47" s="6"/>
      <c r="AK47" s="6"/>
      <c r="AL47" s="6"/>
      <c r="AP47" t="str">
        <f t="shared" si="1"/>
        <v/>
      </c>
    </row>
    <row r="48" spans="1:42" ht="21" customHeight="1" x14ac:dyDescent="0.15">
      <c r="A48" t="s">
        <v>484</v>
      </c>
      <c r="B48" t="s">
        <v>485</v>
      </c>
      <c r="C48" t="s">
        <v>486</v>
      </c>
      <c r="D48" t="s">
        <v>487</v>
      </c>
      <c r="E48" s="6"/>
      <c r="F48" s="6"/>
      <c r="G48" s="6"/>
      <c r="H48" s="6"/>
      <c r="I48" s="6"/>
      <c r="J48" s="6" t="str">
        <f>S46&amp;".1"</f>
        <v>....1</v>
      </c>
      <c r="L48" t="s">
        <v>1730</v>
      </c>
      <c r="P48" s="6"/>
      <c r="Q48" s="6">
        <v>1</v>
      </c>
      <c r="S48" t="str">
        <f>$J48</f>
        <v>....1</v>
      </c>
      <c r="T48" t="s">
        <v>1731</v>
      </c>
      <c r="V48" s="6"/>
      <c r="W48" s="6"/>
      <c r="X48" s="6"/>
      <c r="Y48" s="6"/>
      <c r="Z48" s="6"/>
      <c r="AA48" s="6"/>
      <c r="AB48" s="6"/>
      <c r="AC48" s="6"/>
      <c r="AD48" s="6"/>
      <c r="AE48" s="6"/>
      <c r="AF48" s="6"/>
      <c r="AG48" s="6"/>
      <c r="AH48" s="6"/>
      <c r="AI48" s="6"/>
      <c r="AJ48" s="6"/>
      <c r="AK48" s="6"/>
      <c r="AL48" s="6"/>
      <c r="AM48" t="s">
        <v>1732</v>
      </c>
      <c r="AP48" t="str">
        <f t="shared" si="1"/>
        <v>Группа потребителей</v>
      </c>
    </row>
    <row r="49" spans="1:42" ht="21" customHeight="1" x14ac:dyDescent="0.15">
      <c r="A49" t="s">
        <v>484</v>
      </c>
      <c r="B49" t="s">
        <v>485</v>
      </c>
      <c r="C49" t="s">
        <v>486</v>
      </c>
      <c r="D49" t="s">
        <v>487</v>
      </c>
      <c r="E49" s="6"/>
      <c r="F49" s="6"/>
      <c r="G49" s="6"/>
      <c r="H49" s="6"/>
      <c r="I49" s="6"/>
      <c r="J49" s="6"/>
      <c r="K49" s="6" t="str">
        <f>J48&amp;".1"</f>
        <v>....1.1</v>
      </c>
      <c r="L49" t="s">
        <v>1733</v>
      </c>
      <c r="P49" s="6"/>
      <c r="Q49" s="6"/>
      <c r="R49">
        <v>1</v>
      </c>
      <c r="S49" t="str">
        <f>$K49</f>
        <v>....1.1</v>
      </c>
      <c r="Z49" s="6"/>
      <c r="AA49" s="6" t="s">
        <v>50</v>
      </c>
      <c r="AB49" s="6"/>
      <c r="AC49" s="6" t="s">
        <v>50</v>
      </c>
      <c r="AH49" s="6"/>
      <c r="AI49" s="6" t="s">
        <v>50</v>
      </c>
      <c r="AJ49" s="6"/>
      <c r="AK49" s="6" t="s">
        <v>50</v>
      </c>
      <c r="AM49" s="6" t="s">
        <v>1777</v>
      </c>
      <c r="AN49" t="e">
        <f ca="1">STRCHECKDATE(V50:AL50)</f>
        <v>#NAME?</v>
      </c>
      <c r="AP49" t="str">
        <f t="shared" si="1"/>
        <v/>
      </c>
    </row>
    <row r="50" spans="1:42" ht="0.75" customHeight="1" x14ac:dyDescent="0.15">
      <c r="A50" t="s">
        <v>484</v>
      </c>
      <c r="B50" t="s">
        <v>485</v>
      </c>
      <c r="C50" t="s">
        <v>486</v>
      </c>
      <c r="D50" t="s">
        <v>487</v>
      </c>
      <c r="E50" s="6"/>
      <c r="F50" s="6"/>
      <c r="G50" s="6"/>
      <c r="H50" s="6"/>
      <c r="I50" s="6"/>
      <c r="J50" s="6"/>
      <c r="K50" s="6"/>
      <c r="P50" s="6"/>
      <c r="Q50" s="6"/>
      <c r="Y50" t="str">
        <f>Z49&amp;"-"&amp;AB49</f>
        <v>-</v>
      </c>
      <c r="Z50" s="6"/>
      <c r="AA50" s="6"/>
      <c r="AB50" s="6"/>
      <c r="AC50" s="6"/>
      <c r="AG50" t="str">
        <f>AH49&amp;"-"&amp;AJ49</f>
        <v>-</v>
      </c>
      <c r="AH50" s="6"/>
      <c r="AI50" s="6"/>
      <c r="AJ50" s="6"/>
      <c r="AK50" s="6"/>
      <c r="AM50" s="6"/>
      <c r="AP50" t="str">
        <f t="shared" si="1"/>
        <v/>
      </c>
    </row>
    <row r="51" spans="1:42" ht="11.25" customHeight="1" x14ac:dyDescent="0.15">
      <c r="A51" t="s">
        <v>484</v>
      </c>
      <c r="B51" t="s">
        <v>485</v>
      </c>
      <c r="C51" t="s">
        <v>486</v>
      </c>
      <c r="D51" t="s">
        <v>487</v>
      </c>
      <c r="E51" s="6"/>
      <c r="F51" s="6"/>
      <c r="G51" s="6"/>
      <c r="H51" s="6"/>
      <c r="I51" s="6"/>
      <c r="J51" s="6"/>
      <c r="P51" s="6"/>
      <c r="Q51" s="6"/>
      <c r="T51" t="s">
        <v>1735</v>
      </c>
      <c r="AM51" s="6"/>
      <c r="AP51" t="str">
        <f t="shared" si="1"/>
        <v>Добавить вид теплоносителя (параметры теплоносителя)</v>
      </c>
    </row>
    <row r="52" spans="1:42" ht="11.25" customHeight="1" x14ac:dyDescent="0.15">
      <c r="A52" t="s">
        <v>484</v>
      </c>
      <c r="B52" t="s">
        <v>485</v>
      </c>
      <c r="C52" t="s">
        <v>486</v>
      </c>
      <c r="D52" t="s">
        <v>487</v>
      </c>
      <c r="E52" s="6"/>
      <c r="F52" s="6"/>
      <c r="G52" s="6"/>
      <c r="H52" s="6"/>
      <c r="I52" s="6"/>
      <c r="P52" s="6"/>
      <c r="T52" t="s">
        <v>1736</v>
      </c>
      <c r="AP52" t="str">
        <f t="shared" si="1"/>
        <v>Добавить группу потребителей</v>
      </c>
    </row>
    <row r="53" spans="1:42" ht="0" hidden="1" customHeight="1" x14ac:dyDescent="0.15">
      <c r="A53" t="s">
        <v>484</v>
      </c>
      <c r="B53" t="s">
        <v>485</v>
      </c>
      <c r="C53" t="s">
        <v>486</v>
      </c>
      <c r="D53" t="s">
        <v>487</v>
      </c>
      <c r="E53" s="6"/>
      <c r="F53" s="6"/>
      <c r="G53" s="6"/>
      <c r="H53" s="6"/>
      <c r="AP53" t="str">
        <f t="shared" si="1"/>
        <v/>
      </c>
    </row>
    <row r="54" spans="1:42" ht="0.75" customHeight="1" x14ac:dyDescent="0.15">
      <c r="A54" t="s">
        <v>484</v>
      </c>
      <c r="B54" t="s">
        <v>485</v>
      </c>
      <c r="C54" t="s">
        <v>486</v>
      </c>
      <c r="E54" s="6"/>
      <c r="F54" s="6"/>
      <c r="G54" s="6"/>
      <c r="T54" t="s">
        <v>1696</v>
      </c>
      <c r="AP54" t="str">
        <f t="shared" si="1"/>
        <v>Добавить источник для дифференциации</v>
      </c>
    </row>
    <row r="55" spans="1:42" ht="0.75" customHeight="1" x14ac:dyDescent="0.15">
      <c r="A55" t="s">
        <v>484</v>
      </c>
      <c r="B55" t="s">
        <v>485</v>
      </c>
      <c r="E55" s="6"/>
      <c r="F55" s="6"/>
      <c r="T55" t="s">
        <v>1697</v>
      </c>
      <c r="AP55" t="str">
        <f t="shared" si="1"/>
        <v>Добавить централизованную систему для дифференциации</v>
      </c>
    </row>
    <row r="56" spans="1:42" ht="0.75" customHeight="1" x14ac:dyDescent="0.15">
      <c r="A56" t="s">
        <v>484</v>
      </c>
      <c r="E56" s="6"/>
      <c r="T56" t="s">
        <v>1698</v>
      </c>
      <c r="AP56" t="str">
        <f t="shared" si="1"/>
        <v>Добавить территорию для дифференциации</v>
      </c>
    </row>
    <row r="57" spans="1:42" ht="0.75" customHeight="1" x14ac:dyDescent="0.15">
      <c r="T57" t="s">
        <v>1699</v>
      </c>
      <c r="AP57" t="str">
        <f t="shared" si="1"/>
        <v>Добавить наименование тарифа</v>
      </c>
    </row>
    <row r="58" spans="1:42" ht="11.25" hidden="1" customHeight="1" x14ac:dyDescent="0.15"/>
    <row r="59" spans="1:42" ht="21.75" hidden="1" customHeight="1" x14ac:dyDescent="0.15">
      <c r="S59" t="s">
        <v>1769</v>
      </c>
      <c r="T59" s="6" t="s">
        <v>1778</v>
      </c>
      <c r="U59" s="6"/>
      <c r="V59" s="6"/>
      <c r="W59" s="6"/>
      <c r="X59" s="6"/>
      <c r="Y59" s="6"/>
      <c r="Z59" s="6"/>
      <c r="AA59" s="6"/>
      <c r="AB59" s="6"/>
      <c r="AC59" s="6"/>
      <c r="AD59" s="6"/>
      <c r="AE59" s="6"/>
      <c r="AF59" s="6"/>
      <c r="AG59" s="6"/>
      <c r="AH59" s="6"/>
      <c r="AI59" s="6"/>
      <c r="AJ59" s="6"/>
      <c r="AK59" s="6"/>
      <c r="AL59" s="6"/>
      <c r="AM59" s="6"/>
    </row>
    <row r="60" spans="1:42" ht="29.25" hidden="1" customHeight="1" x14ac:dyDescent="0.15">
      <c r="T60" s="6" t="s">
        <v>1779</v>
      </c>
      <c r="U60" s="6"/>
      <c r="V60" s="6"/>
      <c r="W60" s="6"/>
      <c r="X60" s="6"/>
      <c r="Y60" s="6"/>
      <c r="Z60" s="6"/>
      <c r="AA60" s="6"/>
      <c r="AB60" s="6"/>
      <c r="AC60" s="6"/>
      <c r="AD60" s="6"/>
      <c r="AE60" s="6"/>
      <c r="AF60" s="6"/>
      <c r="AG60" s="6"/>
      <c r="AH60" s="6"/>
      <c r="AI60" s="6"/>
      <c r="AJ60" s="6"/>
      <c r="AK60" s="6"/>
      <c r="AL60" s="6"/>
      <c r="AM60" s="6"/>
    </row>
    <row r="61" spans="1:42" ht="39.75" hidden="1" customHeight="1" x14ac:dyDescent="0.15">
      <c r="T61" s="6" t="s">
        <v>1780</v>
      </c>
      <c r="U61" s="6"/>
      <c r="V61" s="6"/>
      <c r="W61" s="6"/>
      <c r="X61" s="6"/>
      <c r="Y61" s="6"/>
      <c r="Z61" s="6"/>
      <c r="AA61" s="6"/>
      <c r="AB61" s="6"/>
      <c r="AC61" s="6"/>
      <c r="AD61" s="6"/>
      <c r="AE61" s="6"/>
      <c r="AF61" s="6"/>
      <c r="AG61" s="6"/>
      <c r="AH61" s="6"/>
      <c r="AI61" s="6"/>
      <c r="AJ61" s="6"/>
      <c r="AK61" s="6"/>
      <c r="AL61" s="6"/>
      <c r="AM61" s="6"/>
    </row>
    <row r="62" spans="1:42" ht="14.25" hidden="1" customHeight="1" x14ac:dyDescent="0.15"/>
    <row r="63" spans="1:42" ht="19.5" hidden="1" customHeight="1" x14ac:dyDescent="0.15">
      <c r="S63" t="s">
        <v>1769</v>
      </c>
      <c r="T63" s="6" t="s">
        <v>1772</v>
      </c>
      <c r="U63" s="6"/>
      <c r="V63" s="6"/>
      <c r="W63" s="6"/>
      <c r="X63" s="6"/>
      <c r="Y63" s="6"/>
      <c r="Z63" s="6"/>
      <c r="AA63" s="6"/>
      <c r="AB63" s="6"/>
      <c r="AC63" s="6"/>
      <c r="AD63" s="6"/>
      <c r="AE63" s="6"/>
      <c r="AF63" s="6"/>
      <c r="AG63" s="6"/>
      <c r="AH63" s="6"/>
      <c r="AI63" s="6"/>
      <c r="AJ63" s="6"/>
      <c r="AK63" s="6"/>
      <c r="AL63" s="6"/>
      <c r="AM63" s="6"/>
    </row>
    <row r="64" spans="1:42" ht="27.75" hidden="1" customHeight="1" x14ac:dyDescent="0.15">
      <c r="T64" s="6" t="s">
        <v>1781</v>
      </c>
      <c r="U64" s="6"/>
      <c r="V64" s="6"/>
      <c r="W64" s="6"/>
      <c r="X64" s="6"/>
      <c r="Y64" s="6"/>
      <c r="Z64" s="6"/>
      <c r="AA64" s="6"/>
      <c r="AB64" s="6"/>
      <c r="AC64" s="6"/>
      <c r="AD64" s="6"/>
      <c r="AE64" s="6"/>
      <c r="AF64" s="6"/>
      <c r="AG64" s="6"/>
      <c r="AH64" s="6"/>
      <c r="AI64" s="6"/>
      <c r="AJ64" s="6"/>
      <c r="AK64" s="6"/>
      <c r="AL64" s="6"/>
      <c r="AM64" s="6"/>
    </row>
    <row r="65" spans="20:39" ht="33.75" hidden="1" customHeight="1" x14ac:dyDescent="0.15">
      <c r="T65" s="6" t="s">
        <v>1782</v>
      </c>
      <c r="U65" s="6"/>
      <c r="V65" s="6"/>
      <c r="W65" s="6"/>
      <c r="X65" s="6"/>
      <c r="Y65" s="6"/>
      <c r="Z65" s="6"/>
      <c r="AA65" s="6"/>
      <c r="AB65" s="6"/>
      <c r="AC65" s="6"/>
      <c r="AD65" s="6"/>
      <c r="AE65" s="6"/>
      <c r="AF65" s="6"/>
      <c r="AG65" s="6"/>
      <c r="AH65" s="6"/>
      <c r="AI65" s="6"/>
      <c r="AJ65" s="6"/>
      <c r="AK65" s="6"/>
      <c r="AL65" s="6"/>
      <c r="AM65" s="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5"/>
  <sheetViews>
    <sheetView showGridLines="0" topLeftCell="Q25"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6" width="3.7109375" hidden="1" customWidth="1"/>
    <col min="17" max="18" width="3.7109375" customWidth="1"/>
    <col min="19" max="19" width="12.7109375" customWidth="1"/>
    <col min="20" max="20" width="32" customWidth="1"/>
    <col min="21" max="21" width="0.140625" customWidth="1"/>
    <col min="22" max="22" width="24.7109375" hidden="1" customWidth="1"/>
    <col min="23" max="23" width="0.140625" hidden="1" customWidth="1"/>
    <col min="24" max="25" width="24.7109375" hidden="1" customWidth="1"/>
    <col min="26" max="26" width="11.7109375" hidden="1" customWidth="1"/>
    <col min="27" max="27" width="3.7109375" hidden="1" customWidth="1"/>
    <col min="28" max="28" width="11.7109375" hidden="1" customWidth="1"/>
    <col min="29" max="29" width="8.5703125" hidden="1" customWidth="1"/>
    <col min="30" max="30" width="24.7109375" customWidth="1"/>
    <col min="31" max="31" width="0.140625" customWidth="1"/>
    <col min="32" max="33" width="24.7109375" customWidth="1"/>
    <col min="34" max="34" width="11.7109375" customWidth="1"/>
    <col min="35" max="35" width="3.7109375" customWidth="1"/>
    <col min="36" max="36" width="11.7109375" customWidth="1"/>
    <col min="37" max="37" width="8.5703125" hidden="1" customWidth="1"/>
    <col min="38" max="38" width="4.7109375" customWidth="1"/>
    <col min="39" max="39" width="115.7109375" customWidth="1"/>
    <col min="42" max="42" width="11.140625" customWidth="1"/>
  </cols>
  <sheetData>
    <row r="1" spans="5:42" ht="14.25" hidden="1" customHeight="1" x14ac:dyDescent="0.15"/>
    <row r="2" spans="5:42"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t="s">
        <v>1720</v>
      </c>
      <c r="AP2" t="str">
        <f t="shared" ref="AP2:AP15" si="0">IF(T2="","",T2)</f>
        <v>Наименование тарифа</v>
      </c>
    </row>
    <row r="3" spans="5:42"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t="s">
        <v>1722</v>
      </c>
      <c r="AP3" t="str">
        <f t="shared" si="0"/>
        <v>Территория действия тарифа</v>
      </c>
    </row>
    <row r="4" spans="5:42" ht="23.25" hidden="1" customHeight="1" x14ac:dyDescent="0.15">
      <c r="E4" s="6"/>
      <c r="F4" s="6"/>
      <c r="G4" s="6">
        <v>1</v>
      </c>
      <c r="S4" t="e">
        <f>INDEX(PT_DIFFERENTIATION_NUM_CS,MATCH(C4,PT_DIFFERENTIATION_CS_ID,0))</f>
        <v>#N/A</v>
      </c>
      <c r="T4" t="s">
        <v>1723</v>
      </c>
      <c r="V4" s="6"/>
      <c r="W4" s="6"/>
      <c r="X4" s="6"/>
      <c r="Y4" s="6"/>
      <c r="Z4" s="6"/>
      <c r="AA4" s="6"/>
      <c r="AB4" s="6"/>
      <c r="AC4" s="6"/>
      <c r="AD4" s="6" t="e">
        <f>INDEX(PT_DIFFERENTIATION_CS,MATCH(C4,PT_DIFFERENTIATION_CS_ID,0))</f>
        <v>#N/A</v>
      </c>
      <c r="AE4" s="6"/>
      <c r="AF4" s="6"/>
      <c r="AG4" s="6"/>
      <c r="AH4" s="6"/>
      <c r="AI4" s="6"/>
      <c r="AJ4" s="6"/>
      <c r="AK4" s="6"/>
      <c r="AL4" s="6"/>
      <c r="AM4" t="s">
        <v>1724</v>
      </c>
      <c r="AP4" t="str">
        <f t="shared" si="0"/>
        <v xml:space="preserve">Наименование системы теплоснабжения </v>
      </c>
    </row>
    <row r="5" spans="5:42" ht="21" hidden="1" customHeight="1" x14ac:dyDescent="0.15">
      <c r="E5" s="6"/>
      <c r="F5" s="6"/>
      <c r="G5" s="6"/>
      <c r="H5" s="6">
        <v>1</v>
      </c>
      <c r="S5" t="e">
        <f>INDEX(PT_DIFFERENTIATION_NUM_IST_TE,MATCH(D5,PT_DIFFERENTIATION_IST_TE_ID,0))</f>
        <v>#N/A</v>
      </c>
      <c r="T5" t="s">
        <v>1725</v>
      </c>
      <c r="V5" s="6"/>
      <c r="W5" s="6"/>
      <c r="X5" s="6"/>
      <c r="Y5" s="6"/>
      <c r="Z5" s="6"/>
      <c r="AA5" s="6"/>
      <c r="AB5" s="6"/>
      <c r="AC5" s="6"/>
      <c r="AD5" s="6" t="e">
        <f>INDEX(PT_DIFFERENTIATION_IST_TE,MATCH(D5,PT_DIFFERENTIATION_IST_TE_ID,0))</f>
        <v>#N/A</v>
      </c>
      <c r="AE5" s="6"/>
      <c r="AF5" s="6"/>
      <c r="AG5" s="6"/>
      <c r="AH5" s="6"/>
      <c r="AI5" s="6"/>
      <c r="AJ5" s="6"/>
      <c r="AK5" s="6"/>
      <c r="AL5" s="6"/>
      <c r="AM5" t="s">
        <v>1726</v>
      </c>
      <c r="AP5" t="str">
        <f t="shared" si="0"/>
        <v xml:space="preserve">Источник тепловой энергии  </v>
      </c>
    </row>
    <row r="6" spans="5:42" ht="14.25" hidden="1" customHeight="1" x14ac:dyDescent="0.15">
      <c r="E6" s="6"/>
      <c r="F6" s="6"/>
      <c r="G6" s="6"/>
      <c r="H6" s="6"/>
      <c r="I6" s="6" t="e">
        <f>S5&amp;".1"</f>
        <v>#N/A</v>
      </c>
      <c r="L6" t="s">
        <v>1727</v>
      </c>
      <c r="P6" s="6">
        <v>1</v>
      </c>
      <c r="V6" s="6"/>
      <c r="W6" s="6"/>
      <c r="X6" s="6"/>
      <c r="Y6" s="6"/>
      <c r="Z6" s="6"/>
      <c r="AA6" s="6"/>
      <c r="AB6" s="6"/>
      <c r="AC6" s="6"/>
      <c r="AD6" s="6"/>
      <c r="AE6" s="6"/>
      <c r="AF6" s="6"/>
      <c r="AG6" s="6"/>
      <c r="AH6" s="6"/>
      <c r="AI6" s="6"/>
      <c r="AJ6" s="6"/>
      <c r="AK6" s="6"/>
      <c r="AL6" s="6"/>
      <c r="AP6" t="str">
        <f t="shared" si="0"/>
        <v/>
      </c>
    </row>
    <row r="7" spans="5:42" ht="21" hidden="1" customHeight="1" x14ac:dyDescent="0.15">
      <c r="E7" s="6"/>
      <c r="F7" s="6"/>
      <c r="G7" s="6"/>
      <c r="H7" s="6"/>
      <c r="I7" s="6"/>
      <c r="J7" s="6" t="e">
        <f>I6&amp;".1"</f>
        <v>#N/A</v>
      </c>
      <c r="L7" t="s">
        <v>1730</v>
      </c>
      <c r="P7" s="6"/>
      <c r="Q7" s="6">
        <v>1</v>
      </c>
      <c r="S7" t="e">
        <f>$J7</f>
        <v>#N/A</v>
      </c>
      <c r="T7" t="s">
        <v>1731</v>
      </c>
      <c r="V7" s="6"/>
      <c r="W7" s="6"/>
      <c r="X7" s="6"/>
      <c r="Y7" s="6"/>
      <c r="Z7" s="6"/>
      <c r="AA7" s="6"/>
      <c r="AB7" s="6"/>
      <c r="AC7" s="6"/>
      <c r="AD7" s="6"/>
      <c r="AE7" s="6"/>
      <c r="AF7" s="6"/>
      <c r="AG7" s="6"/>
      <c r="AH7" s="6"/>
      <c r="AI7" s="6"/>
      <c r="AJ7" s="6"/>
      <c r="AK7" s="6"/>
      <c r="AL7" s="6"/>
      <c r="AM7" t="s">
        <v>1732</v>
      </c>
      <c r="AP7" t="str">
        <f t="shared" si="0"/>
        <v>Группа потребителей</v>
      </c>
    </row>
    <row r="8" spans="5:42" ht="21" hidden="1" customHeight="1" x14ac:dyDescent="0.15">
      <c r="E8" s="6"/>
      <c r="F8" s="6"/>
      <c r="G8" s="6"/>
      <c r="H8" s="6"/>
      <c r="I8" s="6"/>
      <c r="J8" s="6"/>
      <c r="K8" s="6" t="e">
        <f>J7&amp;".1"</f>
        <v>#N/A</v>
      </c>
      <c r="L8" t="s">
        <v>1733</v>
      </c>
      <c r="P8" s="6"/>
      <c r="Q8" s="6"/>
      <c r="R8">
        <v>1</v>
      </c>
      <c r="S8" t="e">
        <f>$K8</f>
        <v>#N/A</v>
      </c>
      <c r="Z8" s="6"/>
      <c r="AA8" s="6" t="s">
        <v>50</v>
      </c>
      <c r="AB8" s="6"/>
      <c r="AC8" s="6" t="s">
        <v>50</v>
      </c>
      <c r="AH8" s="6"/>
      <c r="AI8" s="6" t="s">
        <v>50</v>
      </c>
      <c r="AJ8" s="6"/>
      <c r="AK8" s="6" t="s">
        <v>50</v>
      </c>
      <c r="AM8" s="6" t="s">
        <v>1734</v>
      </c>
      <c r="AN8" t="e">
        <f ca="1">STRCHECKDATE(V9:AL9)</f>
        <v>#NAME?</v>
      </c>
      <c r="AP8" t="str">
        <f t="shared" si="0"/>
        <v/>
      </c>
    </row>
    <row r="9" spans="5:42" ht="0.75" hidden="1" customHeight="1" x14ac:dyDescent="0.15">
      <c r="E9" s="6"/>
      <c r="F9" s="6"/>
      <c r="G9" s="6"/>
      <c r="H9" s="6"/>
      <c r="I9" s="6"/>
      <c r="J9" s="6"/>
      <c r="K9" s="6"/>
      <c r="P9" s="6"/>
      <c r="Q9" s="6"/>
      <c r="Y9" t="str">
        <f>Z8&amp;"-"&amp;AB8</f>
        <v>-</v>
      </c>
      <c r="Z9" s="6"/>
      <c r="AA9" s="6"/>
      <c r="AB9" s="6"/>
      <c r="AC9" s="6"/>
      <c r="AG9" t="str">
        <f>AH8&amp;"-"&amp;AJ8</f>
        <v>-</v>
      </c>
      <c r="AH9" s="6"/>
      <c r="AI9" s="6"/>
      <c r="AJ9" s="6"/>
      <c r="AK9" s="6"/>
      <c r="AM9" s="6"/>
      <c r="AP9" t="str">
        <f t="shared" si="0"/>
        <v/>
      </c>
    </row>
    <row r="10" spans="5:42" ht="15" hidden="1" customHeight="1" x14ac:dyDescent="0.15">
      <c r="E10" s="6"/>
      <c r="F10" s="6"/>
      <c r="G10" s="6"/>
      <c r="H10" s="6"/>
      <c r="I10" s="6"/>
      <c r="J10" s="6"/>
      <c r="P10" s="6"/>
      <c r="Q10" s="6"/>
      <c r="T10" t="s">
        <v>1735</v>
      </c>
      <c r="AM10" s="6"/>
      <c r="AP10" t="str">
        <f t="shared" si="0"/>
        <v>Добавить вид теплоносителя (параметры теплоносителя)</v>
      </c>
    </row>
    <row r="11" spans="5:42" ht="15" hidden="1" customHeight="1" x14ac:dyDescent="0.15">
      <c r="E11" s="6"/>
      <c r="F11" s="6"/>
      <c r="G11" s="6"/>
      <c r="H11" s="6"/>
      <c r="I11" s="6"/>
      <c r="P11" s="6"/>
      <c r="T11" t="s">
        <v>1736</v>
      </c>
      <c r="AP11" t="str">
        <f t="shared" si="0"/>
        <v>Добавить группу потребителей</v>
      </c>
    </row>
    <row r="12" spans="5:42" ht="14.25" hidden="1" customHeight="1" x14ac:dyDescent="0.15">
      <c r="E12" s="6"/>
      <c r="F12" s="6"/>
      <c r="G12" s="6"/>
      <c r="H12" s="6"/>
      <c r="AP12" t="str">
        <f t="shared" si="0"/>
        <v/>
      </c>
    </row>
    <row r="13" spans="5:42" ht="0.75" hidden="1" customHeight="1" x14ac:dyDescent="0.15">
      <c r="E13" s="6"/>
      <c r="F13" s="6"/>
      <c r="G13" s="6"/>
      <c r="T13" t="s">
        <v>1696</v>
      </c>
      <c r="AP13" t="str">
        <f t="shared" si="0"/>
        <v>Добавить источник для дифференциации</v>
      </c>
    </row>
    <row r="14" spans="5:42" ht="0.75" hidden="1" customHeight="1" x14ac:dyDescent="0.15">
      <c r="E14" s="6"/>
      <c r="F14" s="6"/>
      <c r="T14" t="s">
        <v>1697</v>
      </c>
      <c r="AP14" t="str">
        <f t="shared" si="0"/>
        <v>Добавить централизованную систему для дифференциации</v>
      </c>
    </row>
    <row r="15" spans="5:42" ht="0.75" hidden="1" customHeight="1" x14ac:dyDescent="0.15">
      <c r="E15" s="6"/>
      <c r="T15" t="s">
        <v>1698</v>
      </c>
      <c r="AP15" t="str">
        <f t="shared" si="0"/>
        <v>Добавить территорию для дифференциации</v>
      </c>
    </row>
    <row r="16" spans="5:42" ht="14.25" hidden="1" customHeight="1" x14ac:dyDescent="0.15"/>
    <row r="17" spans="15:37" ht="14.25" hidden="1" customHeight="1" x14ac:dyDescent="0.15">
      <c r="AH17" s="6"/>
      <c r="AI17" s="6" t="s">
        <v>50</v>
      </c>
      <c r="AJ17" s="6"/>
      <c r="AK17" s="6" t="s">
        <v>50</v>
      </c>
    </row>
    <row r="18" spans="15:37" ht="14.25" hidden="1" customHeight="1" x14ac:dyDescent="0.15">
      <c r="AG18" t="str">
        <f>AH17&amp;"-"&amp;AJ17</f>
        <v>-</v>
      </c>
      <c r="AH18" s="6"/>
      <c r="AI18" s="6"/>
      <c r="AJ18" s="6"/>
      <c r="AK18" s="6"/>
    </row>
    <row r="19" spans="15:37" ht="14.25" hidden="1" customHeight="1" x14ac:dyDescent="0.15"/>
    <row r="20" spans="15:37" ht="22.5" hidden="1" customHeight="1" x14ac:dyDescent="0.15">
      <c r="O20" t="s">
        <v>1738</v>
      </c>
    </row>
    <row r="21" spans="15:37" ht="14.25" hidden="1" customHeight="1" x14ac:dyDescent="0.15"/>
    <row r="22" spans="15:37" ht="14.25" hidden="1" customHeight="1" x14ac:dyDescent="0.15">
      <c r="O22" t="s">
        <v>1739</v>
      </c>
      <c r="T22" t="s">
        <v>1740</v>
      </c>
      <c r="AA22" t="s">
        <v>1741</v>
      </c>
      <c r="AC22" t="s">
        <v>1742</v>
      </c>
      <c r="AD22" t="s">
        <v>1740</v>
      </c>
      <c r="AI22" t="s">
        <v>1743</v>
      </c>
      <c r="AK22" t="s">
        <v>1742</v>
      </c>
    </row>
    <row r="23" spans="15:37" ht="14.25" hidden="1" customHeight="1" x14ac:dyDescent="0.15"/>
    <row r="24" spans="15:37" ht="14.25" hidden="1" customHeight="1" x14ac:dyDescent="0.15"/>
    <row r="26" spans="15:37" ht="64.5" customHeight="1" x14ac:dyDescent="0.15">
      <c r="S26" s="6"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6"/>
      <c r="U26" s="6"/>
      <c r="V26" s="6"/>
      <c r="W26" s="6"/>
      <c r="X26" s="6"/>
      <c r="Y26" s="6"/>
      <c r="Z26" s="6"/>
      <c r="AA26" s="6"/>
      <c r="AB26" s="6"/>
      <c r="AC26" s="6"/>
      <c r="AD26" s="6"/>
      <c r="AE26" s="6"/>
      <c r="AF26" s="6"/>
      <c r="AG26" s="6"/>
      <c r="AH26" s="6"/>
      <c r="AI26" s="6"/>
      <c r="AJ26" s="6"/>
    </row>
    <row r="27" spans="15:37" ht="14.25" customHeight="1" x14ac:dyDescent="0.15">
      <c r="S27" s="6" t="str">
        <f>IF(org=0,"Не определено",org)</f>
        <v>КГУП "Примтеплоэнерго"</v>
      </c>
      <c r="T27" s="6"/>
      <c r="U27" s="6"/>
      <c r="V27" s="6"/>
      <c r="W27" s="6"/>
      <c r="X27" s="6"/>
      <c r="Y27" s="6"/>
      <c r="Z27" s="6"/>
      <c r="AA27" s="6"/>
      <c r="AB27" s="6"/>
      <c r="AC27" s="6"/>
      <c r="AD27" s="6"/>
      <c r="AE27" s="6"/>
      <c r="AF27" s="6"/>
      <c r="AG27" s="6"/>
      <c r="AH27" s="6"/>
      <c r="AI27" s="6"/>
      <c r="AJ27" s="6"/>
    </row>
    <row r="28" spans="15:37" ht="14.25" hidden="1" customHeight="1" x14ac:dyDescent="0.15"/>
    <row r="29" spans="15:37" ht="25.5" hidden="1" customHeight="1" x14ac:dyDescent="0.15">
      <c r="S29" s="6" t="s">
        <v>25</v>
      </c>
      <c r="T29" s="6"/>
      <c r="V29" s="6" t="str">
        <f>IF(TITLE_NAME_OR_PR_CHANGE="",IF(TITLE_NAME_OR_PR="","",TITLE_NAME_OR_PR),TITLE_NAME_OR_PR_CHANGE)</f>
        <v/>
      </c>
      <c r="W29" s="6"/>
      <c r="X29" s="6"/>
      <c r="Y29" s="6"/>
      <c r="Z29" s="6"/>
      <c r="AA29" s="6"/>
      <c r="AB29" s="6"/>
      <c r="AD29" s="6" t="str">
        <f>IF(TITLE_NAME_OR_PR_CHANGE="",IF(TITLE_NAME_OR_PR="","",TITLE_NAME_OR_PR),TITLE_NAME_OR_PR_CHANGE)</f>
        <v/>
      </c>
      <c r="AE29" s="6"/>
      <c r="AF29" s="6"/>
      <c r="AG29" s="6"/>
      <c r="AH29" s="6"/>
      <c r="AI29" s="6"/>
      <c r="AJ29" s="6"/>
    </row>
    <row r="30" spans="15:37" ht="18.75" hidden="1" customHeight="1" x14ac:dyDescent="0.15">
      <c r="S30" s="6" t="s">
        <v>1744</v>
      </c>
      <c r="T30" s="6"/>
      <c r="V30" s="6" t="str">
        <f>IF(TITLE_DATE_CHANGE_PERIOD="",IF(TITLE_DATE_PR="","",TITLE_DATE_PR),TITLE_DATE_CHANGE_PERIOD)</f>
        <v/>
      </c>
      <c r="W30" s="6"/>
      <c r="X30" s="6"/>
      <c r="Y30" s="6"/>
      <c r="Z30" s="6"/>
      <c r="AA30" s="6"/>
      <c r="AB30" s="6"/>
      <c r="AD30" s="6" t="str">
        <f>IF(TITLE_DATE_CHANGE_PERIOD="",IF(TITLE_DATE_PR="","",TITLE_DATE_PR),TITLE_DATE_CHANGE_PERIOD)</f>
        <v/>
      </c>
      <c r="AE30" s="6"/>
      <c r="AF30" s="6"/>
      <c r="AG30" s="6"/>
      <c r="AH30" s="6"/>
      <c r="AI30" s="6"/>
      <c r="AJ30" s="6"/>
    </row>
    <row r="31" spans="15:37" ht="18.75" hidden="1" customHeight="1" x14ac:dyDescent="0.15">
      <c r="S31" s="6" t="s">
        <v>1745</v>
      </c>
      <c r="T31" s="6"/>
      <c r="V31" s="6" t="str">
        <f>IF(TITLE_NUMBER_PR_CHANGE="",IF(TITLE_NUMBER_PR="","",TITLE_NUMBER_PR),TITLE_NUMBER_PR_CHANGE)</f>
        <v/>
      </c>
      <c r="W31" s="6"/>
      <c r="X31" s="6"/>
      <c r="Y31" s="6"/>
      <c r="Z31" s="6"/>
      <c r="AA31" s="6"/>
      <c r="AB31" s="6"/>
      <c r="AD31" s="6" t="str">
        <f>IF(TITLE_NUMBER_PR_CHANGE="",IF(TITLE_NUMBER_PR="","",TITLE_NUMBER_PR),TITLE_NUMBER_PR_CHANGE)</f>
        <v/>
      </c>
      <c r="AE31" s="6"/>
      <c r="AF31" s="6"/>
      <c r="AG31" s="6"/>
      <c r="AH31" s="6"/>
      <c r="AI31" s="6"/>
      <c r="AJ31" s="6"/>
    </row>
    <row r="32" spans="15:37" ht="18.75" hidden="1" customHeight="1" x14ac:dyDescent="0.15">
      <c r="S32" s="6" t="s">
        <v>26</v>
      </c>
      <c r="T32" s="6"/>
      <c r="V32" s="6" t="str">
        <f>IF(TITLE_IST_PUB_CHANGE="",IF(TITLE_IST_PUB="","",TITLE_IST_PUB),TITLE_IST_PUB_CHANGE)</f>
        <v/>
      </c>
      <c r="W32" s="6"/>
      <c r="X32" s="6"/>
      <c r="Y32" s="6"/>
      <c r="Z32" s="6"/>
      <c r="AA32" s="6"/>
      <c r="AB32" s="6"/>
      <c r="AD32" s="6" t="str">
        <f>IF(TITLE_IST_PUB_CHANGE="",IF(TITLE_IST_PUB="","",TITLE_IST_PUB),TITLE_IST_PUB_CHANGE)</f>
        <v/>
      </c>
      <c r="AE32" s="6"/>
      <c r="AF32" s="6"/>
      <c r="AG32" s="6"/>
      <c r="AH32" s="6"/>
      <c r="AI32" s="6"/>
      <c r="AJ32" s="6"/>
    </row>
    <row r="33" spans="1:42" ht="14.25" hidden="1" customHeight="1" x14ac:dyDescent="0.15"/>
    <row r="34" spans="1:42" ht="18.75" hidden="1" customHeight="1" x14ac:dyDescent="0.15">
      <c r="S34" s="6" t="s">
        <v>1746</v>
      </c>
      <c r="T34" s="6"/>
      <c r="V34" s="6" t="str">
        <f>IF(TITLE_DATE_CHANGE_PERIOD="",IF(TITLE_DATE_PR="","",TITLE_DATE_PR),TITLE_DATE_CHANGE_PERIOD)</f>
        <v/>
      </c>
      <c r="W34" s="6"/>
      <c r="X34" s="6"/>
      <c r="Y34" s="6"/>
      <c r="Z34" s="6"/>
      <c r="AA34" s="6"/>
      <c r="AB34" s="6"/>
      <c r="AD34" s="6" t="str">
        <f>IF(TITLE_DATE_CHANGE_PERIOD="",IF(TITLE_DATE_PR="","",TITLE_DATE_PR),TITLE_DATE_CHANGE_PERIOD)</f>
        <v/>
      </c>
      <c r="AE34" s="6"/>
      <c r="AF34" s="6"/>
      <c r="AG34" s="6"/>
      <c r="AH34" s="6"/>
      <c r="AI34" s="6"/>
      <c r="AJ34" s="6"/>
    </row>
    <row r="35" spans="1:42" ht="25.5" hidden="1" customHeight="1" x14ac:dyDescent="0.15">
      <c r="S35" s="6" t="s">
        <v>1747</v>
      </c>
      <c r="T35" s="6"/>
      <c r="V35" s="6" t="str">
        <f>IF(TITLE_NUMBER_PR_CHANGE="",IF(TITLE_NUMBER_PR="","",TITLE_NUMBER_PR),TITLE_NUMBER_PR_CHANGE)</f>
        <v/>
      </c>
      <c r="W35" s="6"/>
      <c r="X35" s="6"/>
      <c r="Y35" s="6"/>
      <c r="Z35" s="6"/>
      <c r="AA35" s="6"/>
      <c r="AB35" s="6"/>
      <c r="AD35" s="6" t="str">
        <f>IF(TITLE_NUMBER_PR_CHANGE="",IF(TITLE_NUMBER_PR="","",TITLE_NUMBER_PR),TITLE_NUMBER_PR_CHANGE)</f>
        <v/>
      </c>
      <c r="AE35" s="6"/>
      <c r="AF35" s="6"/>
      <c r="AG35" s="6"/>
      <c r="AH35" s="6"/>
      <c r="AI35" s="6"/>
      <c r="AJ35" s="6"/>
    </row>
    <row r="36" spans="1:42" ht="0" hidden="1" customHeight="1" x14ac:dyDescent="0.15">
      <c r="AC36" t="s">
        <v>1748</v>
      </c>
      <c r="AK36" t="s">
        <v>1748</v>
      </c>
    </row>
    <row r="37" spans="1:42" ht="14.25" customHeight="1" x14ac:dyDescent="0.15">
      <c r="V37" s="6"/>
      <c r="W37" s="6"/>
      <c r="X37" s="6"/>
      <c r="Y37" s="6"/>
      <c r="Z37" s="6"/>
      <c r="AA37" s="6"/>
      <c r="AB37" s="6"/>
      <c r="AC37" s="6"/>
      <c r="AD37" s="6"/>
      <c r="AE37" s="6"/>
      <c r="AF37" s="6"/>
      <c r="AG37" s="6"/>
      <c r="AH37" s="6"/>
      <c r="AI37" s="6"/>
      <c r="AJ37" s="6"/>
      <c r="AK37" s="6"/>
    </row>
    <row r="38" spans="1:42" ht="14.25" customHeight="1" x14ac:dyDescent="0.15">
      <c r="S38" s="6" t="s">
        <v>593</v>
      </c>
      <c r="T38" s="6"/>
      <c r="U38" s="6"/>
      <c r="V38" s="6"/>
      <c r="W38" s="6"/>
      <c r="X38" s="6"/>
      <c r="Y38" s="6"/>
      <c r="Z38" s="6"/>
      <c r="AA38" s="6"/>
      <c r="AB38" s="6"/>
      <c r="AC38" s="6"/>
      <c r="AD38" s="6"/>
      <c r="AE38" s="6"/>
      <c r="AF38" s="6"/>
      <c r="AG38" s="6"/>
      <c r="AH38" s="6"/>
      <c r="AI38" s="6"/>
      <c r="AJ38" s="6"/>
      <c r="AK38" s="6"/>
      <c r="AL38" s="6"/>
      <c r="AM38" s="6" t="s">
        <v>594</v>
      </c>
    </row>
    <row r="39" spans="1:42" ht="14.25" customHeight="1" x14ac:dyDescent="0.15">
      <c r="S39" s="6" t="s">
        <v>75</v>
      </c>
      <c r="T39" s="6" t="s">
        <v>1749</v>
      </c>
      <c r="V39" s="6" t="s">
        <v>1750</v>
      </c>
      <c r="W39" s="6"/>
      <c r="X39" s="6"/>
      <c r="Y39" s="6"/>
      <c r="Z39" s="6"/>
      <c r="AA39" s="6"/>
      <c r="AB39" s="6"/>
      <c r="AC39" s="6" t="s">
        <v>1751</v>
      </c>
      <c r="AD39" s="6" t="s">
        <v>1750</v>
      </c>
      <c r="AE39" s="6"/>
      <c r="AF39" s="6"/>
      <c r="AG39" s="6"/>
      <c r="AH39" s="6"/>
      <c r="AI39" s="6"/>
      <c r="AJ39" s="6"/>
      <c r="AK39" s="6" t="s">
        <v>1752</v>
      </c>
      <c r="AL39" s="6" t="s">
        <v>1753</v>
      </c>
      <c r="AM39" s="6"/>
    </row>
    <row r="40" spans="1:42" ht="33.75" customHeight="1" x14ac:dyDescent="0.15">
      <c r="S40" s="6"/>
      <c r="T40" s="6"/>
      <c r="V40" s="6" t="s">
        <v>1754</v>
      </c>
      <c r="W40" s="6"/>
      <c r="X40" s="6" t="s">
        <v>1756</v>
      </c>
      <c r="Y40" s="6"/>
      <c r="Z40" s="6" t="s">
        <v>1757</v>
      </c>
      <c r="AA40" s="6"/>
      <c r="AB40" s="6"/>
      <c r="AC40" s="6"/>
      <c r="AD40" s="6" t="s">
        <v>1754</v>
      </c>
      <c r="AE40" s="6"/>
      <c r="AF40" s="6" t="s">
        <v>1756</v>
      </c>
      <c r="AG40" s="6"/>
      <c r="AH40" s="6" t="s">
        <v>1757</v>
      </c>
      <c r="AI40" s="6"/>
      <c r="AJ40" s="6"/>
      <c r="AK40" s="6"/>
      <c r="AL40" s="6"/>
      <c r="AM40" s="6"/>
    </row>
    <row r="41" spans="1:42" ht="33.75" customHeight="1" x14ac:dyDescent="0.15">
      <c r="B41" t="s">
        <v>443</v>
      </c>
      <c r="C41" t="s">
        <v>444</v>
      </c>
      <c r="D41" t="s">
        <v>445</v>
      </c>
      <c r="E41" t="s">
        <v>1758</v>
      </c>
      <c r="F41" t="s">
        <v>1759</v>
      </c>
      <c r="G41" t="s">
        <v>1760</v>
      </c>
      <c r="H41" t="s">
        <v>1761</v>
      </c>
      <c r="I41" t="s">
        <v>1762</v>
      </c>
      <c r="J41" t="s">
        <v>1763</v>
      </c>
      <c r="K41" t="s">
        <v>1764</v>
      </c>
      <c r="L41" t="s">
        <v>1739</v>
      </c>
      <c r="S41" s="6"/>
      <c r="T41" s="6"/>
      <c r="V41" s="6"/>
      <c r="W41" s="6"/>
      <c r="X41" t="s">
        <v>1765</v>
      </c>
      <c r="Y41" t="s">
        <v>1766</v>
      </c>
      <c r="Z41" t="s">
        <v>1767</v>
      </c>
      <c r="AA41" s="6" t="s">
        <v>1768</v>
      </c>
      <c r="AB41" s="6"/>
      <c r="AC41" s="6"/>
      <c r="AD41" s="6"/>
      <c r="AE41" s="6"/>
      <c r="AF41" t="s">
        <v>1765</v>
      </c>
      <c r="AG41" t="s">
        <v>1766</v>
      </c>
      <c r="AH41" t="s">
        <v>1767</v>
      </c>
      <c r="AI41" s="6" t="s">
        <v>1768</v>
      </c>
      <c r="AJ41" s="6"/>
      <c r="AK41" s="6"/>
      <c r="AL41" s="6"/>
      <c r="AM41" s="6"/>
    </row>
    <row r="42" spans="1:42" ht="11.25" hidden="1" customHeight="1" x14ac:dyDescent="0.15">
      <c r="R42">
        <v>1</v>
      </c>
      <c r="S42" t="s">
        <v>165</v>
      </c>
      <c r="T42" t="s">
        <v>89</v>
      </c>
      <c r="U42" t="str">
        <f ca="1">OFFSET(U42,0,-1)</f>
        <v>2</v>
      </c>
      <c r="V42">
        <f ca="1">OFFSET(V42,0,-1)+1</f>
        <v>3</v>
      </c>
      <c r="X42">
        <f ca="1">OFFSET(X42,0,-1)+1</f>
        <v>1</v>
      </c>
      <c r="Y42">
        <f ca="1">OFFSET(Y42,0,-1)+1</f>
        <v>2</v>
      </c>
      <c r="Z42">
        <f ca="1">OFFSET(Z42,0,-1)+1</f>
        <v>3</v>
      </c>
      <c r="AA42" s="6">
        <f ca="1">OFFSET(AA42,0,-1)+1</f>
        <v>4</v>
      </c>
      <c r="AB42" s="6"/>
      <c r="AC42">
        <f ca="1">OFFSET(AC42,0,-2)+1</f>
        <v>5</v>
      </c>
      <c r="AD42">
        <f ca="1">OFFSET(AD42,0,-1)+1</f>
        <v>6</v>
      </c>
      <c r="AF42">
        <f ca="1">OFFSET(AF42,0,-1)+1</f>
        <v>1</v>
      </c>
      <c r="AG42">
        <f ca="1">OFFSET(AG42,0,-1)+1</f>
        <v>2</v>
      </c>
      <c r="AH42">
        <f ca="1">OFFSET(AH42,0,-1)+1</f>
        <v>3</v>
      </c>
      <c r="AI42" s="6">
        <f ca="1">OFFSET(AI42,0,-1)+1</f>
        <v>4</v>
      </c>
      <c r="AJ42" s="6"/>
      <c r="AK42">
        <f ca="1">OFFSET(AK42,0,-2)+1</f>
        <v>5</v>
      </c>
      <c r="AL42">
        <f ca="1">OFFSET(AL42,0,-1)</f>
        <v>5</v>
      </c>
      <c r="AM42">
        <f ca="1">OFFSET(AM42,0,-1)+1</f>
        <v>6</v>
      </c>
    </row>
    <row r="43" spans="1:42" ht="21" customHeight="1" x14ac:dyDescent="0.15">
      <c r="A43" t="s">
        <v>490</v>
      </c>
      <c r="E43" s="6">
        <v>1</v>
      </c>
      <c r="S43">
        <f>INDEX(PT_DIFFERENTIATION_NUM_NTAR,MATCH(A43,PT_DIFFERENTIATION_NTAR_ID,0))</f>
        <v>0</v>
      </c>
      <c r="T43" t="s">
        <v>431</v>
      </c>
      <c r="V43" s="6"/>
      <c r="W43" s="6"/>
      <c r="X43" s="6"/>
      <c r="Y43" s="6"/>
      <c r="Z43" s="6"/>
      <c r="AA43" s="6"/>
      <c r="AB43" s="6"/>
      <c r="AC43" s="6"/>
      <c r="AD43" s="6" t="str">
        <f>INDEX(PT_DIFFERENTIATION_NTAR,MATCH(A43,PT_DIFFERENTIATION_NTAR_ID,0))</f>
        <v/>
      </c>
      <c r="AE43" s="6"/>
      <c r="AF43" s="6"/>
      <c r="AG43" s="6"/>
      <c r="AH43" s="6"/>
      <c r="AI43" s="6"/>
      <c r="AJ43" s="6"/>
      <c r="AK43" s="6"/>
      <c r="AL43" s="6"/>
      <c r="AM43" t="s">
        <v>1720</v>
      </c>
      <c r="AP43" t="str">
        <f t="shared" ref="AP43:AP57" si="1">IF(T43="","",T43)</f>
        <v>Наименование тарифа</v>
      </c>
    </row>
    <row r="44" spans="1:42" ht="21" customHeight="1" x14ac:dyDescent="0.15">
      <c r="A44" t="s">
        <v>490</v>
      </c>
      <c r="B44" t="s">
        <v>491</v>
      </c>
      <c r="E44" s="6"/>
      <c r="F44" s="6">
        <v>1</v>
      </c>
      <c r="S44" t="str">
        <f>INDEX(PT_DIFFERENTIATION_NUM_TER,MATCH(B44,PT_DIFFERENTIATION_TER_ID,0))</f>
        <v>.</v>
      </c>
      <c r="T44" t="s">
        <v>1721</v>
      </c>
      <c r="V44" s="6"/>
      <c r="W44" s="6"/>
      <c r="X44" s="6"/>
      <c r="Y44" s="6"/>
      <c r="Z44" s="6"/>
      <c r="AA44" s="6"/>
      <c r="AB44" s="6"/>
      <c r="AC44" s="6"/>
      <c r="AD44" s="6" t="str">
        <f>INDEX(PT_DIFFERENTIATION_TER,MATCH(B44,PT_DIFFERENTIATION_TER_ID,0))</f>
        <v/>
      </c>
      <c r="AE44" s="6"/>
      <c r="AF44" s="6"/>
      <c r="AG44" s="6"/>
      <c r="AH44" s="6"/>
      <c r="AI44" s="6"/>
      <c r="AJ44" s="6"/>
      <c r="AK44" s="6"/>
      <c r="AL44" s="6"/>
      <c r="AM44" t="s">
        <v>1722</v>
      </c>
      <c r="AP44" t="str">
        <f t="shared" si="1"/>
        <v>Территория действия тарифа</v>
      </c>
    </row>
    <row r="45" spans="1:42" ht="23.25" customHeight="1" x14ac:dyDescent="0.15">
      <c r="A45" t="s">
        <v>490</v>
      </c>
      <c r="B45" t="s">
        <v>491</v>
      </c>
      <c r="C45" t="s">
        <v>492</v>
      </c>
      <c r="E45" s="6"/>
      <c r="F45" s="6"/>
      <c r="G45" s="6">
        <v>1</v>
      </c>
      <c r="S45" t="str">
        <f>INDEX(PT_DIFFERENTIATION_NUM_CS,MATCH(C45,PT_DIFFERENTIATION_CS_ID,0))</f>
        <v>..</v>
      </c>
      <c r="T45" t="s">
        <v>1723</v>
      </c>
      <c r="V45" s="6"/>
      <c r="W45" s="6"/>
      <c r="X45" s="6"/>
      <c r="Y45" s="6"/>
      <c r="Z45" s="6"/>
      <c r="AA45" s="6"/>
      <c r="AB45" s="6"/>
      <c r="AC45" s="6"/>
      <c r="AD45" s="6" t="str">
        <f>INDEX(PT_DIFFERENTIATION_CS,MATCH(C45,PT_DIFFERENTIATION_CS_ID,0))</f>
        <v/>
      </c>
      <c r="AE45" s="6"/>
      <c r="AF45" s="6"/>
      <c r="AG45" s="6"/>
      <c r="AH45" s="6"/>
      <c r="AI45" s="6"/>
      <c r="AJ45" s="6"/>
      <c r="AK45" s="6"/>
      <c r="AL45" s="6"/>
      <c r="AM45" t="s">
        <v>1724</v>
      </c>
      <c r="AP45" t="str">
        <f t="shared" si="1"/>
        <v xml:space="preserve">Наименование системы теплоснабжения </v>
      </c>
    </row>
    <row r="46" spans="1:42" ht="21" customHeight="1" x14ac:dyDescent="0.15">
      <c r="A46" t="s">
        <v>490</v>
      </c>
      <c r="B46" t="s">
        <v>491</v>
      </c>
      <c r="C46" t="s">
        <v>492</v>
      </c>
      <c r="D46" t="s">
        <v>493</v>
      </c>
      <c r="E46" s="6"/>
      <c r="F46" s="6"/>
      <c r="G46" s="6"/>
      <c r="H46" s="6">
        <v>1</v>
      </c>
      <c r="S46" t="str">
        <f>INDEX(PT_DIFFERENTIATION_NUM_IST_TE,MATCH(D46,PT_DIFFERENTIATION_IST_TE_ID,0))</f>
        <v>...</v>
      </c>
      <c r="T46" t="s">
        <v>1725</v>
      </c>
      <c r="V46" s="6"/>
      <c r="W46" s="6"/>
      <c r="X46" s="6"/>
      <c r="Y46" s="6"/>
      <c r="Z46" s="6"/>
      <c r="AA46" s="6"/>
      <c r="AB46" s="6"/>
      <c r="AC46" s="6"/>
      <c r="AD46" s="6" t="str">
        <f>INDEX(PT_DIFFERENTIATION_IST_TE,MATCH(D46,PT_DIFFERENTIATION_IST_TE_ID,0))</f>
        <v/>
      </c>
      <c r="AE46" s="6"/>
      <c r="AF46" s="6"/>
      <c r="AG46" s="6"/>
      <c r="AH46" s="6"/>
      <c r="AI46" s="6"/>
      <c r="AJ46" s="6"/>
      <c r="AK46" s="6"/>
      <c r="AL46" s="6"/>
      <c r="AM46" t="s">
        <v>1726</v>
      </c>
      <c r="AP46" t="str">
        <f t="shared" si="1"/>
        <v xml:space="preserve">Источник тепловой энергии  </v>
      </c>
    </row>
    <row r="47" spans="1:42" ht="0" hidden="1" customHeight="1" x14ac:dyDescent="0.15">
      <c r="A47" t="s">
        <v>490</v>
      </c>
      <c r="B47" t="s">
        <v>491</v>
      </c>
      <c r="C47" t="s">
        <v>492</v>
      </c>
      <c r="D47" t="s">
        <v>493</v>
      </c>
      <c r="E47" s="6"/>
      <c r="F47" s="6"/>
      <c r="G47" s="6"/>
      <c r="H47" s="6"/>
      <c r="I47" s="6" t="str">
        <f>S46&amp;".1"</f>
        <v>....1</v>
      </c>
      <c r="L47" t="s">
        <v>1727</v>
      </c>
      <c r="P47" s="6">
        <v>1</v>
      </c>
      <c r="V47" s="6"/>
      <c r="W47" s="6"/>
      <c r="X47" s="6"/>
      <c r="Y47" s="6"/>
      <c r="Z47" s="6"/>
      <c r="AA47" s="6"/>
      <c r="AB47" s="6"/>
      <c r="AC47" s="6"/>
      <c r="AD47" s="6"/>
      <c r="AE47" s="6"/>
      <c r="AF47" s="6"/>
      <c r="AG47" s="6"/>
      <c r="AH47" s="6"/>
      <c r="AI47" s="6"/>
      <c r="AJ47" s="6"/>
      <c r="AK47" s="6"/>
      <c r="AL47" s="6"/>
      <c r="AP47" t="str">
        <f t="shared" si="1"/>
        <v/>
      </c>
    </row>
    <row r="48" spans="1:42" ht="21" customHeight="1" x14ac:dyDescent="0.15">
      <c r="A48" t="s">
        <v>490</v>
      </c>
      <c r="B48" t="s">
        <v>491</v>
      </c>
      <c r="C48" t="s">
        <v>492</v>
      </c>
      <c r="D48" t="s">
        <v>493</v>
      </c>
      <c r="E48" s="6"/>
      <c r="F48" s="6"/>
      <c r="G48" s="6"/>
      <c r="H48" s="6"/>
      <c r="I48" s="6"/>
      <c r="J48" s="6" t="str">
        <f>S46&amp;".1"</f>
        <v>....1</v>
      </c>
      <c r="L48" t="s">
        <v>1730</v>
      </c>
      <c r="P48" s="6"/>
      <c r="Q48" s="6">
        <v>1</v>
      </c>
      <c r="S48" t="str">
        <f>$J48</f>
        <v>....1</v>
      </c>
      <c r="T48" t="s">
        <v>1731</v>
      </c>
      <c r="V48" s="6"/>
      <c r="W48" s="6"/>
      <c r="X48" s="6"/>
      <c r="Y48" s="6"/>
      <c r="Z48" s="6"/>
      <c r="AA48" s="6"/>
      <c r="AB48" s="6"/>
      <c r="AC48" s="6"/>
      <c r="AD48" s="6"/>
      <c r="AE48" s="6"/>
      <c r="AF48" s="6"/>
      <c r="AG48" s="6"/>
      <c r="AH48" s="6"/>
      <c r="AI48" s="6"/>
      <c r="AJ48" s="6"/>
      <c r="AK48" s="6"/>
      <c r="AL48" s="6"/>
      <c r="AM48" t="s">
        <v>1732</v>
      </c>
      <c r="AP48" t="str">
        <f t="shared" si="1"/>
        <v>Группа потребителей</v>
      </c>
    </row>
    <row r="49" spans="1:42" ht="21" customHeight="1" x14ac:dyDescent="0.15">
      <c r="A49" t="s">
        <v>490</v>
      </c>
      <c r="B49" t="s">
        <v>491</v>
      </c>
      <c r="C49" t="s">
        <v>492</v>
      </c>
      <c r="D49" t="s">
        <v>493</v>
      </c>
      <c r="E49" s="6"/>
      <c r="F49" s="6"/>
      <c r="G49" s="6"/>
      <c r="H49" s="6"/>
      <c r="I49" s="6"/>
      <c r="J49" s="6"/>
      <c r="K49" s="6" t="str">
        <f>J48&amp;".1"</f>
        <v>....1.1</v>
      </c>
      <c r="L49" t="s">
        <v>1733</v>
      </c>
      <c r="P49" s="6"/>
      <c r="Q49" s="6"/>
      <c r="R49">
        <v>1</v>
      </c>
      <c r="S49" t="str">
        <f>$K49</f>
        <v>....1.1</v>
      </c>
      <c r="Z49" s="6"/>
      <c r="AA49" s="6" t="s">
        <v>50</v>
      </c>
      <c r="AB49" s="6"/>
      <c r="AC49" s="6" t="s">
        <v>50</v>
      </c>
      <c r="AH49" s="6"/>
      <c r="AI49" s="6" t="s">
        <v>50</v>
      </c>
      <c r="AJ49" s="6"/>
      <c r="AK49" s="6" t="s">
        <v>50</v>
      </c>
      <c r="AM49" s="6" t="s">
        <v>1777</v>
      </c>
      <c r="AN49" t="e">
        <f ca="1">STRCHECKDATE(V50:AL50)</f>
        <v>#NAME?</v>
      </c>
      <c r="AP49" t="str">
        <f t="shared" si="1"/>
        <v/>
      </c>
    </row>
    <row r="50" spans="1:42" ht="0.75" customHeight="1" x14ac:dyDescent="0.15">
      <c r="A50" t="s">
        <v>490</v>
      </c>
      <c r="B50" t="s">
        <v>491</v>
      </c>
      <c r="C50" t="s">
        <v>492</v>
      </c>
      <c r="D50" t="s">
        <v>493</v>
      </c>
      <c r="E50" s="6"/>
      <c r="F50" s="6"/>
      <c r="G50" s="6"/>
      <c r="H50" s="6"/>
      <c r="I50" s="6"/>
      <c r="J50" s="6"/>
      <c r="K50" s="6"/>
      <c r="P50" s="6"/>
      <c r="Q50" s="6"/>
      <c r="Y50" t="str">
        <f>Z49&amp;"-"&amp;AB49</f>
        <v>-</v>
      </c>
      <c r="Z50" s="6"/>
      <c r="AA50" s="6"/>
      <c r="AB50" s="6"/>
      <c r="AC50" s="6"/>
      <c r="AG50" t="str">
        <f>AH49&amp;"-"&amp;AJ49</f>
        <v>-</v>
      </c>
      <c r="AH50" s="6"/>
      <c r="AI50" s="6"/>
      <c r="AJ50" s="6"/>
      <c r="AK50" s="6"/>
      <c r="AM50" s="6"/>
      <c r="AP50" t="str">
        <f t="shared" si="1"/>
        <v/>
      </c>
    </row>
    <row r="51" spans="1:42" ht="11.25" customHeight="1" x14ac:dyDescent="0.15">
      <c r="A51" t="s">
        <v>490</v>
      </c>
      <c r="B51" t="s">
        <v>491</v>
      </c>
      <c r="C51" t="s">
        <v>492</v>
      </c>
      <c r="D51" t="s">
        <v>493</v>
      </c>
      <c r="E51" s="6"/>
      <c r="F51" s="6"/>
      <c r="G51" s="6"/>
      <c r="H51" s="6"/>
      <c r="I51" s="6"/>
      <c r="J51" s="6"/>
      <c r="P51" s="6"/>
      <c r="Q51" s="6"/>
      <c r="T51" t="s">
        <v>1735</v>
      </c>
      <c r="AM51" s="6"/>
      <c r="AP51" t="str">
        <f t="shared" si="1"/>
        <v>Добавить вид теплоносителя (параметры теплоносителя)</v>
      </c>
    </row>
    <row r="52" spans="1:42" ht="11.25" customHeight="1" x14ac:dyDescent="0.15">
      <c r="A52" t="s">
        <v>490</v>
      </c>
      <c r="B52" t="s">
        <v>491</v>
      </c>
      <c r="C52" t="s">
        <v>492</v>
      </c>
      <c r="D52" t="s">
        <v>493</v>
      </c>
      <c r="E52" s="6"/>
      <c r="F52" s="6"/>
      <c r="G52" s="6"/>
      <c r="H52" s="6"/>
      <c r="I52" s="6"/>
      <c r="P52" s="6"/>
      <c r="T52" t="s">
        <v>1736</v>
      </c>
      <c r="AP52" t="str">
        <f t="shared" si="1"/>
        <v>Добавить группу потребителей</v>
      </c>
    </row>
    <row r="53" spans="1:42" ht="0" hidden="1" customHeight="1" x14ac:dyDescent="0.15">
      <c r="A53" t="s">
        <v>490</v>
      </c>
      <c r="B53" t="s">
        <v>491</v>
      </c>
      <c r="C53" t="s">
        <v>492</v>
      </c>
      <c r="D53" t="s">
        <v>493</v>
      </c>
      <c r="E53" s="6"/>
      <c r="F53" s="6"/>
      <c r="G53" s="6"/>
      <c r="H53" s="6"/>
      <c r="AP53" t="str">
        <f t="shared" si="1"/>
        <v/>
      </c>
    </row>
    <row r="54" spans="1:42" ht="0.75" customHeight="1" x14ac:dyDescent="0.15">
      <c r="A54" t="s">
        <v>490</v>
      </c>
      <c r="B54" t="s">
        <v>491</v>
      </c>
      <c r="C54" t="s">
        <v>492</v>
      </c>
      <c r="E54" s="6"/>
      <c r="F54" s="6"/>
      <c r="G54" s="6"/>
      <c r="T54" t="s">
        <v>1696</v>
      </c>
      <c r="AP54" t="str">
        <f t="shared" si="1"/>
        <v>Добавить источник для дифференциации</v>
      </c>
    </row>
    <row r="55" spans="1:42" ht="0.75" customHeight="1" x14ac:dyDescent="0.15">
      <c r="A55" t="s">
        <v>490</v>
      </c>
      <c r="B55" t="s">
        <v>491</v>
      </c>
      <c r="E55" s="6"/>
      <c r="F55" s="6"/>
      <c r="T55" t="s">
        <v>1697</v>
      </c>
      <c r="AP55" t="str">
        <f t="shared" si="1"/>
        <v>Добавить централизованную систему для дифференциации</v>
      </c>
    </row>
    <row r="56" spans="1:42" ht="0.75" customHeight="1" x14ac:dyDescent="0.15">
      <c r="A56" t="s">
        <v>490</v>
      </c>
      <c r="E56" s="6"/>
      <c r="T56" t="s">
        <v>1698</v>
      </c>
      <c r="AP56" t="str">
        <f t="shared" si="1"/>
        <v>Добавить территорию для дифференциации</v>
      </c>
    </row>
    <row r="57" spans="1:42" ht="0.75" customHeight="1" x14ac:dyDescent="0.15">
      <c r="T57" t="s">
        <v>1699</v>
      </c>
      <c r="AP57" t="str">
        <f t="shared" si="1"/>
        <v>Добавить наименование тарифа</v>
      </c>
    </row>
    <row r="58" spans="1:42" ht="11.25" hidden="1" customHeight="1" x14ac:dyDescent="0.15"/>
    <row r="59" spans="1:42" ht="18.75" hidden="1" customHeight="1" x14ac:dyDescent="0.15">
      <c r="S59" t="s">
        <v>1769</v>
      </c>
      <c r="T59" s="6" t="s">
        <v>1778</v>
      </c>
      <c r="U59" s="6"/>
      <c r="V59" s="6"/>
      <c r="W59" s="6"/>
      <c r="X59" s="6"/>
      <c r="Y59" s="6"/>
      <c r="Z59" s="6"/>
      <c r="AA59" s="6"/>
      <c r="AB59" s="6"/>
      <c r="AC59" s="6"/>
      <c r="AD59" s="6"/>
      <c r="AE59" s="6"/>
      <c r="AF59" s="6"/>
      <c r="AG59" s="6"/>
      <c r="AH59" s="6"/>
      <c r="AI59" s="6"/>
      <c r="AJ59" s="6"/>
      <c r="AK59" s="6"/>
      <c r="AL59" s="6"/>
      <c r="AM59" s="6"/>
    </row>
    <row r="60" spans="1:42" ht="27.75" hidden="1" customHeight="1" x14ac:dyDescent="0.15">
      <c r="T60" s="6" t="s">
        <v>1779</v>
      </c>
      <c r="U60" s="6"/>
      <c r="V60" s="6"/>
      <c r="W60" s="6"/>
      <c r="X60" s="6"/>
      <c r="Y60" s="6"/>
      <c r="Z60" s="6"/>
      <c r="AA60" s="6"/>
      <c r="AB60" s="6"/>
      <c r="AC60" s="6"/>
      <c r="AD60" s="6"/>
      <c r="AE60" s="6"/>
      <c r="AF60" s="6"/>
      <c r="AG60" s="6"/>
      <c r="AH60" s="6"/>
      <c r="AI60" s="6"/>
      <c r="AJ60" s="6"/>
      <c r="AK60" s="6"/>
      <c r="AL60" s="6"/>
      <c r="AM60" s="6"/>
    </row>
    <row r="61" spans="1:42" ht="36.75" hidden="1" customHeight="1" x14ac:dyDescent="0.15">
      <c r="T61" s="6" t="s">
        <v>1780</v>
      </c>
      <c r="U61" s="6"/>
      <c r="V61" s="6"/>
      <c r="W61" s="6"/>
      <c r="X61" s="6"/>
      <c r="Y61" s="6"/>
      <c r="Z61" s="6"/>
      <c r="AA61" s="6"/>
      <c r="AB61" s="6"/>
      <c r="AC61" s="6"/>
      <c r="AD61" s="6"/>
      <c r="AE61" s="6"/>
      <c r="AF61" s="6"/>
      <c r="AG61" s="6"/>
      <c r="AH61" s="6"/>
      <c r="AI61" s="6"/>
      <c r="AJ61" s="6"/>
      <c r="AK61" s="6"/>
      <c r="AL61" s="6"/>
      <c r="AM61" s="6"/>
    </row>
    <row r="62" spans="1:42" ht="14.25" hidden="1" customHeight="1" x14ac:dyDescent="0.15"/>
    <row r="63" spans="1:42" ht="19.5" hidden="1" customHeight="1" x14ac:dyDescent="0.15">
      <c r="S63" t="s">
        <v>1769</v>
      </c>
      <c r="T63" s="6" t="s">
        <v>1772</v>
      </c>
      <c r="U63" s="6"/>
      <c r="V63" s="6"/>
      <c r="W63" s="6"/>
      <c r="X63" s="6"/>
      <c r="Y63" s="6"/>
      <c r="Z63" s="6"/>
      <c r="AA63" s="6"/>
      <c r="AB63" s="6"/>
      <c r="AC63" s="6"/>
      <c r="AD63" s="6"/>
      <c r="AE63" s="6"/>
      <c r="AF63" s="6"/>
      <c r="AG63" s="6"/>
      <c r="AH63" s="6"/>
      <c r="AI63" s="6"/>
      <c r="AJ63" s="6"/>
      <c r="AK63" s="6"/>
      <c r="AL63" s="6"/>
      <c r="AM63" s="6"/>
    </row>
    <row r="64" spans="1:42" ht="27.75" hidden="1" customHeight="1" x14ac:dyDescent="0.15">
      <c r="T64" s="6" t="s">
        <v>1781</v>
      </c>
      <c r="U64" s="6"/>
      <c r="V64" s="6"/>
      <c r="W64" s="6"/>
      <c r="X64" s="6"/>
      <c r="Y64" s="6"/>
      <c r="Z64" s="6"/>
      <c r="AA64" s="6"/>
      <c r="AB64" s="6"/>
      <c r="AC64" s="6"/>
      <c r="AD64" s="6"/>
      <c r="AE64" s="6"/>
      <c r="AF64" s="6"/>
      <c r="AG64" s="6"/>
      <c r="AH64" s="6"/>
      <c r="AI64" s="6"/>
      <c r="AJ64" s="6"/>
      <c r="AK64" s="6"/>
      <c r="AL64" s="6"/>
      <c r="AM64" s="6"/>
    </row>
    <row r="65" spans="20:39" ht="33.75" hidden="1" customHeight="1" x14ac:dyDescent="0.15">
      <c r="T65" s="6" t="s">
        <v>1782</v>
      </c>
      <c r="U65" s="6"/>
      <c r="V65" s="6"/>
      <c r="W65" s="6"/>
      <c r="X65" s="6"/>
      <c r="Y65" s="6"/>
      <c r="Z65" s="6"/>
      <c r="AA65" s="6"/>
      <c r="AB65" s="6"/>
      <c r="AC65" s="6"/>
      <c r="AD65" s="6"/>
      <c r="AE65" s="6"/>
      <c r="AF65" s="6"/>
      <c r="AG65" s="6"/>
      <c r="AH65" s="6"/>
      <c r="AI65" s="6"/>
      <c r="AJ65" s="6"/>
      <c r="AK65" s="6"/>
      <c r="AL65" s="6"/>
      <c r="AM65" s="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T71"/>
  <sheetViews>
    <sheetView showGridLines="0" topLeftCell="R29"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2" width="11.42578125" hidden="1" customWidth="1"/>
    <col min="13" max="13" width="19.140625" hidden="1" customWidth="1"/>
    <col min="14" max="15" width="12.28515625" hidden="1" customWidth="1"/>
    <col min="16" max="16" width="23.42578125" hidden="1" customWidth="1"/>
    <col min="17" max="17" width="3.7109375" hidden="1" customWidth="1"/>
    <col min="18" max="20" width="3.7109375" customWidth="1"/>
    <col min="21" max="21" width="12.7109375" customWidth="1"/>
    <col min="22" max="22" width="32" customWidth="1"/>
    <col min="23" max="23" width="0.140625" customWidth="1"/>
    <col min="24" max="28" width="21.7109375" hidden="1" customWidth="1"/>
    <col min="29" max="29" width="11.7109375" hidden="1" customWidth="1"/>
    <col min="30" max="30" width="3.7109375" hidden="1" customWidth="1"/>
    <col min="31" max="31" width="11.7109375" hidden="1" customWidth="1"/>
    <col min="32" max="32" width="8.5703125" hidden="1" customWidth="1"/>
    <col min="33" max="37" width="21.7109375" customWidth="1"/>
    <col min="38" max="38" width="11.7109375" customWidth="1"/>
    <col min="39" max="39" width="3.7109375" customWidth="1"/>
    <col min="40" max="40" width="11.7109375" customWidth="1"/>
    <col min="41" max="41" width="8.5703125" customWidth="1"/>
    <col min="42" max="42" width="4.7109375" customWidth="1"/>
    <col min="43" max="43" width="115.7109375" customWidth="1"/>
    <col min="46" max="46" width="11.140625" customWidth="1"/>
  </cols>
  <sheetData>
    <row r="1" spans="5:46" ht="14.25" hidden="1" customHeight="1" x14ac:dyDescent="0.15"/>
    <row r="2" spans="5:46" ht="21" hidden="1" customHeight="1" x14ac:dyDescent="0.15">
      <c r="E2" s="6">
        <v>1</v>
      </c>
      <c r="U2" t="e">
        <f>INDEX(PT_DIFFERENTIATION_NUM_NTAR,MATCH(A2,PT_DIFFERENTIATION_NTAR_ID,0))</f>
        <v>#N/A</v>
      </c>
      <c r="V2" t="s">
        <v>431</v>
      </c>
      <c r="X2" s="6"/>
      <c r="Y2" s="6"/>
      <c r="Z2" s="6"/>
      <c r="AA2" s="6"/>
      <c r="AB2" s="6"/>
      <c r="AC2" s="6"/>
      <c r="AD2" s="6"/>
      <c r="AE2" s="6"/>
      <c r="AF2" s="6"/>
      <c r="AG2" s="6" t="e">
        <f>INDEX(PT_DIFFERENTIATION_NTAR,MATCH(A2,PT_DIFFERENTIATION_NTAR_ID,0))</f>
        <v>#N/A</v>
      </c>
      <c r="AH2" s="6"/>
      <c r="AI2" s="6"/>
      <c r="AJ2" s="6"/>
      <c r="AK2" s="6"/>
      <c r="AL2" s="6"/>
      <c r="AM2" s="6"/>
      <c r="AN2" s="6"/>
      <c r="AO2" s="6"/>
      <c r="AP2" s="6"/>
      <c r="AQ2" t="s">
        <v>1720</v>
      </c>
      <c r="AT2" t="str">
        <f t="shared" ref="AT2:AT8" si="0">IF(V2="","",V2)</f>
        <v>Наименование тарифа</v>
      </c>
    </row>
    <row r="3" spans="5:46" ht="21" hidden="1" customHeight="1" x14ac:dyDescent="0.15">
      <c r="E3" s="6"/>
      <c r="F3" s="6">
        <v>1</v>
      </c>
      <c r="U3" t="e">
        <f>INDEX(PT_DIFFERENTIATION_NUM_TER,MATCH(B3,PT_DIFFERENTIATION_TER_ID,0))</f>
        <v>#N/A</v>
      </c>
      <c r="V3" t="s">
        <v>1721</v>
      </c>
      <c r="X3" s="6"/>
      <c r="Y3" s="6"/>
      <c r="Z3" s="6"/>
      <c r="AA3" s="6"/>
      <c r="AB3" s="6"/>
      <c r="AC3" s="6"/>
      <c r="AD3" s="6"/>
      <c r="AE3" s="6"/>
      <c r="AF3" s="6"/>
      <c r="AG3" s="6" t="e">
        <f>INDEX(PT_DIFFERENTIATION_TER,MATCH(B3,PT_DIFFERENTIATION_TER_ID,0))</f>
        <v>#N/A</v>
      </c>
      <c r="AH3" s="6"/>
      <c r="AI3" s="6"/>
      <c r="AJ3" s="6"/>
      <c r="AK3" s="6"/>
      <c r="AL3" s="6"/>
      <c r="AM3" s="6"/>
      <c r="AN3" s="6"/>
      <c r="AO3" s="6"/>
      <c r="AP3" s="6"/>
      <c r="AQ3" t="s">
        <v>1722</v>
      </c>
      <c r="AT3" t="str">
        <f t="shared" si="0"/>
        <v>Территория действия тарифа</v>
      </c>
    </row>
    <row r="4" spans="5:46" ht="22.5" hidden="1" customHeight="1" x14ac:dyDescent="0.15">
      <c r="E4" s="6"/>
      <c r="F4" s="6"/>
      <c r="G4" s="6">
        <v>1</v>
      </c>
      <c r="U4" t="e">
        <f>INDEX(PT_DIFFERENTIATION_NUM_CS,MATCH(C4,PT_DIFFERENTIATION_CS_ID,0))</f>
        <v>#N/A</v>
      </c>
      <c r="V4" t="s">
        <v>1723</v>
      </c>
      <c r="X4" s="6"/>
      <c r="Y4" s="6"/>
      <c r="Z4" s="6"/>
      <c r="AA4" s="6"/>
      <c r="AB4" s="6"/>
      <c r="AC4" s="6"/>
      <c r="AD4" s="6"/>
      <c r="AE4" s="6"/>
      <c r="AF4" s="6"/>
      <c r="AG4" s="6" t="e">
        <f>INDEX(PT_DIFFERENTIATION_CS,MATCH(C4,PT_DIFFERENTIATION_CS_ID,0))</f>
        <v>#N/A</v>
      </c>
      <c r="AH4" s="6"/>
      <c r="AI4" s="6"/>
      <c r="AJ4" s="6"/>
      <c r="AK4" s="6"/>
      <c r="AL4" s="6"/>
      <c r="AM4" s="6"/>
      <c r="AN4" s="6"/>
      <c r="AO4" s="6"/>
      <c r="AP4" s="6"/>
      <c r="AQ4" t="s">
        <v>1724</v>
      </c>
      <c r="AT4" t="str">
        <f t="shared" si="0"/>
        <v xml:space="preserve">Наименование системы теплоснабжения </v>
      </c>
    </row>
    <row r="5" spans="5:46" ht="21" hidden="1" customHeight="1" x14ac:dyDescent="0.15">
      <c r="E5" s="6"/>
      <c r="F5" s="6"/>
      <c r="G5" s="6"/>
      <c r="H5" s="6">
        <v>1</v>
      </c>
      <c r="U5" t="e">
        <f>INDEX(PT_DIFFERENTIATION_NUM_IST_TE,MATCH(D5,PT_DIFFERENTIATION_IST_TE_ID,0))</f>
        <v>#N/A</v>
      </c>
      <c r="V5" t="s">
        <v>1725</v>
      </c>
      <c r="X5" s="6"/>
      <c r="Y5" s="6"/>
      <c r="Z5" s="6"/>
      <c r="AA5" s="6"/>
      <c r="AB5" s="6"/>
      <c r="AC5" s="6"/>
      <c r="AD5" s="6"/>
      <c r="AE5" s="6"/>
      <c r="AF5" s="6"/>
      <c r="AG5" s="6" t="e">
        <f>INDEX(PT_DIFFERENTIATION_IST_TE,MATCH(D5,PT_DIFFERENTIATION_IST_TE_ID,0))</f>
        <v>#N/A</v>
      </c>
      <c r="AH5" s="6"/>
      <c r="AI5" s="6"/>
      <c r="AJ5" s="6"/>
      <c r="AK5" s="6"/>
      <c r="AL5" s="6"/>
      <c r="AM5" s="6"/>
      <c r="AN5" s="6"/>
      <c r="AO5" s="6"/>
      <c r="AP5" s="6"/>
      <c r="AQ5" t="s">
        <v>1726</v>
      </c>
      <c r="AT5" t="str">
        <f t="shared" si="0"/>
        <v xml:space="preserve">Источник тепловой энергии  </v>
      </c>
    </row>
    <row r="6" spans="5:46" ht="14.25" hidden="1" customHeight="1" x14ac:dyDescent="0.15">
      <c r="E6" s="6"/>
      <c r="F6" s="6"/>
      <c r="G6" s="6"/>
      <c r="H6" s="6"/>
      <c r="I6" s="6" t="e">
        <f>U5&amp;".1"</f>
        <v>#N/A</v>
      </c>
      <c r="M6" t="s">
        <v>1727</v>
      </c>
      <c r="Q6" s="6">
        <v>1</v>
      </c>
      <c r="X6" s="6"/>
      <c r="Y6" s="6"/>
      <c r="Z6" s="6"/>
      <c r="AA6" s="6"/>
      <c r="AB6" s="6"/>
      <c r="AC6" s="6"/>
      <c r="AD6" s="6"/>
      <c r="AE6" s="6"/>
      <c r="AF6" s="6"/>
      <c r="AG6" s="6"/>
      <c r="AH6" s="6"/>
      <c r="AI6" s="6"/>
      <c r="AJ6" s="6"/>
      <c r="AK6" s="6"/>
      <c r="AL6" s="6"/>
      <c r="AM6" s="6"/>
      <c r="AN6" s="6"/>
      <c r="AO6" s="6"/>
      <c r="AP6" s="6"/>
      <c r="AT6" t="str">
        <f t="shared" si="0"/>
        <v/>
      </c>
    </row>
    <row r="7" spans="5:46" ht="21" hidden="1" customHeight="1" x14ac:dyDescent="0.15">
      <c r="E7" s="6"/>
      <c r="F7" s="6"/>
      <c r="G7" s="6"/>
      <c r="H7" s="6"/>
      <c r="I7" s="6"/>
      <c r="J7" s="6" t="e">
        <f>I6&amp;".1"</f>
        <v>#N/A</v>
      </c>
      <c r="M7" t="s">
        <v>1730</v>
      </c>
      <c r="Q7" s="6"/>
      <c r="R7" s="6">
        <v>1</v>
      </c>
      <c r="U7" t="e">
        <f>$J7</f>
        <v>#N/A</v>
      </c>
      <c r="V7" t="s">
        <v>1731</v>
      </c>
      <c r="X7" s="6"/>
      <c r="Y7" s="6"/>
      <c r="Z7" s="6"/>
      <c r="AA7" s="6"/>
      <c r="AB7" s="6"/>
      <c r="AC7" s="6"/>
      <c r="AD7" s="6"/>
      <c r="AE7" s="6"/>
      <c r="AF7" s="6"/>
      <c r="AG7" s="6"/>
      <c r="AH7" s="6"/>
      <c r="AI7" s="6"/>
      <c r="AJ7" s="6"/>
      <c r="AK7" s="6"/>
      <c r="AL7" s="6"/>
      <c r="AM7" s="6"/>
      <c r="AN7" s="6"/>
      <c r="AO7" s="6"/>
      <c r="AP7" s="6"/>
      <c r="AQ7" t="s">
        <v>1732</v>
      </c>
      <c r="AT7" t="str">
        <f t="shared" si="0"/>
        <v>Группа потребителей</v>
      </c>
    </row>
    <row r="8" spans="5:46" ht="21" hidden="1" customHeight="1" x14ac:dyDescent="0.15">
      <c r="E8" s="6"/>
      <c r="F8" s="6"/>
      <c r="G8" s="6"/>
      <c r="H8" s="6"/>
      <c r="I8" s="6"/>
      <c r="J8" s="6"/>
      <c r="K8" s="6" t="e">
        <f>J7&amp;".1"</f>
        <v>#N/A</v>
      </c>
      <c r="M8" t="s">
        <v>1733</v>
      </c>
      <c r="Q8" s="6"/>
      <c r="R8" s="6"/>
      <c r="S8" s="6">
        <v>1</v>
      </c>
      <c r="U8" t="e">
        <f>$K8</f>
        <v>#N/A</v>
      </c>
      <c r="AC8" s="6"/>
      <c r="AD8" s="6" t="s">
        <v>50</v>
      </c>
      <c r="AE8" s="6"/>
      <c r="AF8" s="6" t="s">
        <v>50</v>
      </c>
      <c r="AL8" s="6"/>
      <c r="AM8" s="6" t="s">
        <v>50</v>
      </c>
      <c r="AN8" s="6"/>
      <c r="AO8" s="6" t="s">
        <v>50</v>
      </c>
      <c r="AQ8" t="s">
        <v>1783</v>
      </c>
      <c r="AR8" t="e">
        <f ca="1">STRCHECKDATE(X10:AP10)</f>
        <v>#NAME?</v>
      </c>
      <c r="AT8" t="str">
        <f t="shared" si="0"/>
        <v/>
      </c>
    </row>
    <row r="9" spans="5:46" ht="21" hidden="1" customHeight="1" x14ac:dyDescent="0.15">
      <c r="E9" s="6"/>
      <c r="F9" s="6"/>
      <c r="G9" s="6"/>
      <c r="H9" s="6"/>
      <c r="I9" s="6"/>
      <c r="J9" s="6"/>
      <c r="K9" s="6"/>
      <c r="L9" s="6" t="e">
        <f>K8&amp;".1"</f>
        <v>#N/A</v>
      </c>
      <c r="Q9" s="6"/>
      <c r="R9" s="6"/>
      <c r="S9" s="6"/>
      <c r="U9" t="e">
        <f>$L9</f>
        <v>#N/A</v>
      </c>
      <c r="AC9" s="6"/>
      <c r="AD9" s="6"/>
      <c r="AE9" s="6"/>
      <c r="AF9" s="6"/>
      <c r="AL9" s="6"/>
      <c r="AM9" s="6"/>
      <c r="AN9" s="6"/>
      <c r="AO9" s="6"/>
      <c r="AQ9" s="6" t="s">
        <v>1784</v>
      </c>
    </row>
    <row r="10" spans="5:46" ht="0.75" hidden="1" customHeight="1" x14ac:dyDescent="0.15">
      <c r="E10" s="6"/>
      <c r="F10" s="6"/>
      <c r="G10" s="6"/>
      <c r="H10" s="6"/>
      <c r="I10" s="6"/>
      <c r="J10" s="6"/>
      <c r="K10" s="6"/>
      <c r="L10" s="6"/>
      <c r="Q10" s="6"/>
      <c r="R10" s="6"/>
      <c r="S10" s="6"/>
      <c r="AB10" t="str">
        <f>AC8&amp;"-"&amp;AE8</f>
        <v>-</v>
      </c>
      <c r="AC10" s="6"/>
      <c r="AD10" s="6"/>
      <c r="AE10" s="6"/>
      <c r="AF10" s="6"/>
      <c r="AK10" t="str">
        <f>AL8&amp;"-"&amp;AN8</f>
        <v>-</v>
      </c>
      <c r="AL10" s="6"/>
      <c r="AM10" s="6"/>
      <c r="AN10" s="6"/>
      <c r="AO10" s="6"/>
      <c r="AQ10" s="6"/>
      <c r="AT10" t="str">
        <f>IF(V10="","",V10)</f>
        <v/>
      </c>
    </row>
    <row r="11" spans="5:46" ht="11.25" hidden="1" customHeight="1" x14ac:dyDescent="0.15">
      <c r="E11" s="6"/>
      <c r="F11" s="6"/>
      <c r="G11" s="6"/>
      <c r="H11" s="6"/>
      <c r="I11" s="6"/>
      <c r="J11" s="6"/>
      <c r="K11" s="6"/>
      <c r="Q11" s="6"/>
      <c r="R11" s="6"/>
      <c r="S11" s="6"/>
      <c r="V11" t="s">
        <v>1785</v>
      </c>
      <c r="AC11" s="6"/>
      <c r="AD11" s="6"/>
      <c r="AE11" s="6"/>
      <c r="AF11" s="6"/>
      <c r="AL11" s="6"/>
      <c r="AM11" s="6"/>
      <c r="AN11" s="6"/>
      <c r="AO11" s="6"/>
      <c r="AQ11" s="6"/>
    </row>
    <row r="12" spans="5:46" ht="15" hidden="1" customHeight="1" x14ac:dyDescent="0.15">
      <c r="E12" s="6"/>
      <c r="F12" s="6"/>
      <c r="G12" s="6"/>
      <c r="H12" s="6"/>
      <c r="I12" s="6"/>
      <c r="J12" s="6"/>
      <c r="Q12" s="6"/>
      <c r="R12" s="6"/>
      <c r="V12" t="s">
        <v>1735</v>
      </c>
      <c r="AQ12" s="6"/>
      <c r="AT12" t="str">
        <f t="shared" ref="AT12:AT17" si="1">IF(V12="","",V12)</f>
        <v>Добавить вид теплоносителя (параметры теплоносителя)</v>
      </c>
    </row>
    <row r="13" spans="5:46" ht="15" hidden="1" customHeight="1" x14ac:dyDescent="0.15">
      <c r="E13" s="6"/>
      <c r="F13" s="6"/>
      <c r="G13" s="6"/>
      <c r="H13" s="6"/>
      <c r="I13" s="6"/>
      <c r="Q13" s="6"/>
      <c r="V13" t="s">
        <v>1736</v>
      </c>
      <c r="AT13" t="str">
        <f t="shared" si="1"/>
        <v>Добавить группу потребителей</v>
      </c>
    </row>
    <row r="14" spans="5:46" ht="14.25" hidden="1" customHeight="1" x14ac:dyDescent="0.15">
      <c r="E14" s="6"/>
      <c r="F14" s="6"/>
      <c r="G14" s="6"/>
      <c r="H14" s="6"/>
      <c r="AT14" t="str">
        <f t="shared" si="1"/>
        <v/>
      </c>
    </row>
    <row r="15" spans="5:46" ht="0.75" hidden="1" customHeight="1" x14ac:dyDescent="0.15">
      <c r="E15" s="6"/>
      <c r="F15" s="6"/>
      <c r="G15" s="6"/>
      <c r="V15" t="s">
        <v>1696</v>
      </c>
      <c r="AT15" t="str">
        <f t="shared" si="1"/>
        <v>Добавить источник для дифференциации</v>
      </c>
    </row>
    <row r="16" spans="5:46" ht="0.75" hidden="1" customHeight="1" x14ac:dyDescent="0.15">
      <c r="E16" s="6"/>
      <c r="F16" s="6"/>
      <c r="V16" t="s">
        <v>1697</v>
      </c>
      <c r="AT16" t="str">
        <f t="shared" si="1"/>
        <v>Добавить централизованную систему для дифференциации</v>
      </c>
    </row>
    <row r="17" spans="5:46" ht="0.75" hidden="1" customHeight="1" x14ac:dyDescent="0.15">
      <c r="E17" s="6"/>
      <c r="V17" t="s">
        <v>1698</v>
      </c>
      <c r="AT17" t="str">
        <f t="shared" si="1"/>
        <v>Добавить территорию для дифференциации</v>
      </c>
    </row>
    <row r="18" spans="5:46" ht="14.25" hidden="1" customHeight="1" x14ac:dyDescent="0.15"/>
    <row r="19" spans="5:46" ht="14.25" hidden="1" customHeight="1" x14ac:dyDescent="0.15">
      <c r="AL19" s="6"/>
      <c r="AM19" s="6" t="s">
        <v>50</v>
      </c>
      <c r="AN19" s="6"/>
      <c r="AO19" s="6" t="s">
        <v>50</v>
      </c>
    </row>
    <row r="20" spans="5:46" ht="14.25" hidden="1" customHeight="1" x14ac:dyDescent="0.15">
      <c r="AL20" s="6"/>
      <c r="AM20" s="6"/>
      <c r="AN20" s="6"/>
      <c r="AO20" s="6"/>
    </row>
    <row r="21" spans="5:46" ht="14.25" hidden="1" customHeight="1" x14ac:dyDescent="0.15">
      <c r="AL21" s="6"/>
      <c r="AM21" s="6"/>
      <c r="AN21" s="6"/>
      <c r="AO21" s="6"/>
    </row>
    <row r="22" spans="5:46" ht="14.25" hidden="1" customHeight="1" x14ac:dyDescent="0.15">
      <c r="AK22" t="str">
        <f>AL19&amp;"-"&amp;AN19</f>
        <v>-</v>
      </c>
      <c r="AL22" s="6"/>
      <c r="AM22" s="6"/>
      <c r="AN22" s="6"/>
      <c r="AO22" s="6"/>
    </row>
    <row r="23" spans="5:46" ht="14.25" hidden="1" customHeight="1" x14ac:dyDescent="0.15"/>
    <row r="24" spans="5:46" ht="22.5" hidden="1" customHeight="1" x14ac:dyDescent="0.15">
      <c r="P24" t="s">
        <v>1738</v>
      </c>
    </row>
    <row r="25" spans="5:46" ht="14.25" hidden="1" customHeight="1" x14ac:dyDescent="0.15"/>
    <row r="26" spans="5:46" ht="14.25" hidden="1" customHeight="1" x14ac:dyDescent="0.15">
      <c r="P26" t="s">
        <v>1739</v>
      </c>
      <c r="V26" t="s">
        <v>1740</v>
      </c>
      <c r="AD26" t="s">
        <v>1741</v>
      </c>
      <c r="AF26" t="s">
        <v>1742</v>
      </c>
      <c r="AG26" t="s">
        <v>1740</v>
      </c>
      <c r="AM26" t="s">
        <v>1743</v>
      </c>
      <c r="AO26" t="s">
        <v>1742</v>
      </c>
    </row>
    <row r="27" spans="5:46" ht="14.25" hidden="1" customHeight="1" x14ac:dyDescent="0.15"/>
    <row r="28" spans="5:46" ht="14.25" hidden="1" customHeight="1" x14ac:dyDescent="0.15"/>
    <row r="30" spans="5:46" ht="64.5" customHeight="1" x14ac:dyDescent="0.15">
      <c r="U30" s="6"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6"/>
      <c r="W30" s="6"/>
      <c r="X30" s="6"/>
      <c r="Y30" s="6"/>
      <c r="Z30" s="6"/>
      <c r="AA30" s="6"/>
      <c r="AB30" s="6"/>
      <c r="AC30" s="6"/>
      <c r="AD30" s="6"/>
      <c r="AE30" s="6"/>
      <c r="AF30" s="6"/>
      <c r="AG30" s="6"/>
      <c r="AH30" s="6"/>
      <c r="AI30" s="6"/>
      <c r="AJ30" s="6"/>
      <c r="AK30" s="6"/>
      <c r="AL30" s="6"/>
      <c r="AM30" s="6"/>
      <c r="AN30" s="6"/>
    </row>
    <row r="31" spans="5:46" ht="14.25" customHeight="1" x14ac:dyDescent="0.15">
      <c r="U31" s="6" t="str">
        <f>IF(org=0,"Не определено",org)</f>
        <v>КГУП "Примтеплоэнерго"</v>
      </c>
      <c r="V31" s="6"/>
      <c r="W31" s="6"/>
      <c r="X31" s="6"/>
      <c r="Y31" s="6"/>
      <c r="Z31" s="6"/>
      <c r="AA31" s="6"/>
      <c r="AB31" s="6"/>
      <c r="AC31" s="6"/>
      <c r="AD31" s="6"/>
      <c r="AE31" s="6"/>
      <c r="AF31" s="6"/>
      <c r="AG31" s="6"/>
      <c r="AH31" s="6"/>
      <c r="AI31" s="6"/>
      <c r="AJ31" s="6"/>
      <c r="AK31" s="6"/>
      <c r="AL31" s="6"/>
      <c r="AM31" s="6"/>
      <c r="AN31" s="6"/>
    </row>
    <row r="32" spans="5:46" ht="14.25" hidden="1" customHeight="1" x14ac:dyDescent="0.15"/>
    <row r="33" spans="2:43" ht="25.5" hidden="1" customHeight="1" x14ac:dyDescent="0.15">
      <c r="U33" s="6" t="s">
        <v>25</v>
      </c>
      <c r="V33" s="6"/>
      <c r="X33" s="6" t="str">
        <f>IF(TITLE_NAME_OR_PR_CHANGE="",IF(TITLE_NAME_OR_PR="","",TITLE_NAME_OR_PR),TITLE_NAME_OR_PR_CHANGE)</f>
        <v/>
      </c>
      <c r="Y33" s="6"/>
      <c r="Z33" s="6"/>
      <c r="AA33" s="6"/>
      <c r="AB33" s="6"/>
      <c r="AC33" s="6"/>
      <c r="AD33" s="6"/>
      <c r="AE33" s="6"/>
      <c r="AG33" s="6" t="str">
        <f>IF(TITLE_NAME_OR_PR_CHANGE="",IF(TITLE_NAME_OR_PR="","",TITLE_NAME_OR_PR),TITLE_NAME_OR_PR_CHANGE)</f>
        <v/>
      </c>
      <c r="AH33" s="6"/>
      <c r="AI33" s="6"/>
      <c r="AJ33" s="6"/>
      <c r="AK33" s="6"/>
      <c r="AL33" s="6"/>
      <c r="AM33" s="6"/>
      <c r="AN33" s="6"/>
    </row>
    <row r="34" spans="2:43" ht="18.75" hidden="1" customHeight="1" x14ac:dyDescent="0.15">
      <c r="U34" s="6" t="s">
        <v>1744</v>
      </c>
      <c r="V34" s="6"/>
      <c r="X34" s="6" t="str">
        <f>IF(TITLE_DATE_CHANGE_PERIOD="",IF(TITLE_DATE_PR="","",TITLE_DATE_PR),TITLE_DATE_CHANGE_PERIOD)</f>
        <v/>
      </c>
      <c r="Y34" s="6"/>
      <c r="Z34" s="6"/>
      <c r="AA34" s="6"/>
      <c r="AB34" s="6"/>
      <c r="AC34" s="6"/>
      <c r="AD34" s="6"/>
      <c r="AE34" s="6"/>
      <c r="AG34" s="6" t="str">
        <f>IF(TITLE_DATE_CHANGE_PERIOD="",IF(TITLE_DATE_PR="","",TITLE_DATE_PR),TITLE_DATE_CHANGE_PERIOD)</f>
        <v/>
      </c>
      <c r="AH34" s="6"/>
      <c r="AI34" s="6"/>
      <c r="AJ34" s="6"/>
      <c r="AK34" s="6"/>
      <c r="AL34" s="6"/>
      <c r="AM34" s="6"/>
      <c r="AN34" s="6"/>
    </row>
    <row r="35" spans="2:43" ht="18.75" hidden="1" customHeight="1" x14ac:dyDescent="0.15">
      <c r="U35" s="6" t="s">
        <v>1745</v>
      </c>
      <c r="V35" s="6"/>
      <c r="X35" s="6" t="str">
        <f>IF(TITLE_NUMBER_PR_CHANGE="",IF(TITLE_NUMBER_PR="","",TITLE_NUMBER_PR),TITLE_NUMBER_PR_CHANGE)</f>
        <v/>
      </c>
      <c r="Y35" s="6"/>
      <c r="Z35" s="6"/>
      <c r="AA35" s="6"/>
      <c r="AB35" s="6"/>
      <c r="AC35" s="6"/>
      <c r="AD35" s="6"/>
      <c r="AE35" s="6"/>
      <c r="AG35" s="6" t="str">
        <f>IF(TITLE_NUMBER_PR_CHANGE="",IF(TITLE_NUMBER_PR="","",TITLE_NUMBER_PR),TITLE_NUMBER_PR_CHANGE)</f>
        <v/>
      </c>
      <c r="AH35" s="6"/>
      <c r="AI35" s="6"/>
      <c r="AJ35" s="6"/>
      <c r="AK35" s="6"/>
      <c r="AL35" s="6"/>
      <c r="AM35" s="6"/>
      <c r="AN35" s="6"/>
    </row>
    <row r="36" spans="2:43" ht="18.75" hidden="1" customHeight="1" x14ac:dyDescent="0.15">
      <c r="U36" s="6" t="s">
        <v>26</v>
      </c>
      <c r="V36" s="6"/>
      <c r="X36" s="6" t="str">
        <f>IF(TITLE_IST_PUB_CHANGE="",IF(TITLE_IST_PUB="","",TITLE_IST_PUB),TITLE_IST_PUB_CHANGE)</f>
        <v/>
      </c>
      <c r="Y36" s="6"/>
      <c r="Z36" s="6"/>
      <c r="AA36" s="6"/>
      <c r="AB36" s="6"/>
      <c r="AC36" s="6"/>
      <c r="AD36" s="6"/>
      <c r="AE36" s="6"/>
      <c r="AG36" s="6" t="str">
        <f>IF(TITLE_IST_PUB_CHANGE="",IF(TITLE_IST_PUB="","",TITLE_IST_PUB),TITLE_IST_PUB_CHANGE)</f>
        <v/>
      </c>
      <c r="AH36" s="6"/>
      <c r="AI36" s="6"/>
      <c r="AJ36" s="6"/>
      <c r="AK36" s="6"/>
      <c r="AL36" s="6"/>
      <c r="AM36" s="6"/>
      <c r="AN36" s="6"/>
    </row>
    <row r="37" spans="2:43" ht="14.25" hidden="1" customHeight="1" x14ac:dyDescent="0.15"/>
    <row r="38" spans="2:43" ht="18.75" hidden="1" customHeight="1" x14ac:dyDescent="0.15">
      <c r="U38" s="6" t="s">
        <v>1746</v>
      </c>
      <c r="V38" s="6"/>
      <c r="X38" s="6" t="str">
        <f>IF(TITLE_DATE_CHANGE_PERIOD="",IF(TITLE_DATE_PR="","",TITLE_DATE_PR),TITLE_DATE_CHANGE_PERIOD)</f>
        <v/>
      </c>
      <c r="Y38" s="6"/>
      <c r="Z38" s="6"/>
      <c r="AA38" s="6"/>
      <c r="AB38" s="6"/>
      <c r="AC38" s="6"/>
      <c r="AD38" s="6"/>
      <c r="AE38" s="6"/>
      <c r="AG38" s="6" t="str">
        <f>IF(TITLE_DATE_CHANGE_PERIOD="",IF(TITLE_DATE_PR="","",TITLE_DATE_PR),TITLE_DATE_CHANGE_PERIOD)</f>
        <v/>
      </c>
      <c r="AH38" s="6"/>
      <c r="AI38" s="6"/>
      <c r="AJ38" s="6"/>
      <c r="AK38" s="6"/>
      <c r="AL38" s="6"/>
      <c r="AM38" s="6"/>
      <c r="AN38" s="6"/>
    </row>
    <row r="39" spans="2:43" ht="18.75" hidden="1" customHeight="1" x14ac:dyDescent="0.15">
      <c r="U39" s="6" t="s">
        <v>1747</v>
      </c>
      <c r="V39" s="6"/>
      <c r="X39" s="6" t="str">
        <f>IF(TITLE_NUMBER_PR_CHANGE="",IF(TITLE_NUMBER_PR="","",TITLE_NUMBER_PR),TITLE_NUMBER_PR_CHANGE)</f>
        <v/>
      </c>
      <c r="Y39" s="6"/>
      <c r="Z39" s="6"/>
      <c r="AA39" s="6"/>
      <c r="AB39" s="6"/>
      <c r="AC39" s="6"/>
      <c r="AD39" s="6"/>
      <c r="AE39" s="6"/>
      <c r="AG39" s="6" t="str">
        <f>IF(TITLE_NUMBER_PR_CHANGE="",IF(TITLE_NUMBER_PR="","",TITLE_NUMBER_PR),TITLE_NUMBER_PR_CHANGE)</f>
        <v/>
      </c>
      <c r="AH39" s="6"/>
      <c r="AI39" s="6"/>
      <c r="AJ39" s="6"/>
      <c r="AK39" s="6"/>
      <c r="AL39" s="6"/>
      <c r="AM39" s="6"/>
      <c r="AN39" s="6"/>
    </row>
    <row r="40" spans="2:43" ht="0" hidden="1" customHeight="1" x14ac:dyDescent="0.15">
      <c r="AF40" t="s">
        <v>1748</v>
      </c>
      <c r="AO40" t="s">
        <v>1748</v>
      </c>
    </row>
    <row r="41" spans="2:43" ht="14.25" customHeight="1" x14ac:dyDescent="0.15">
      <c r="X41" s="6"/>
      <c r="Y41" s="6"/>
      <c r="Z41" s="6"/>
      <c r="AA41" s="6"/>
      <c r="AB41" s="6"/>
      <c r="AC41" s="6"/>
      <c r="AD41" s="6"/>
      <c r="AE41" s="6"/>
      <c r="AF41" s="6"/>
      <c r="AG41" s="6"/>
      <c r="AH41" s="6"/>
      <c r="AI41" s="6"/>
      <c r="AJ41" s="6"/>
      <c r="AK41" s="6"/>
      <c r="AL41" s="6"/>
      <c r="AM41" s="6"/>
      <c r="AN41" s="6"/>
      <c r="AO41" s="6"/>
    </row>
    <row r="42" spans="2:43" ht="14.25" customHeight="1" x14ac:dyDescent="0.15">
      <c r="U42" s="6" t="s">
        <v>593</v>
      </c>
      <c r="V42" s="6"/>
      <c r="W42" s="6"/>
      <c r="X42" s="6"/>
      <c r="Y42" s="6"/>
      <c r="Z42" s="6"/>
      <c r="AA42" s="6"/>
      <c r="AB42" s="6"/>
      <c r="AC42" s="6"/>
      <c r="AD42" s="6"/>
      <c r="AE42" s="6"/>
      <c r="AF42" s="6"/>
      <c r="AG42" s="6"/>
      <c r="AH42" s="6"/>
      <c r="AI42" s="6"/>
      <c r="AJ42" s="6"/>
      <c r="AK42" s="6"/>
      <c r="AL42" s="6"/>
      <c r="AM42" s="6"/>
      <c r="AN42" s="6"/>
      <c r="AO42" s="6"/>
      <c r="AP42" s="6"/>
      <c r="AQ42" s="6" t="s">
        <v>594</v>
      </c>
    </row>
    <row r="43" spans="2:43" ht="14.25" customHeight="1" x14ac:dyDescent="0.15">
      <c r="U43" s="6" t="s">
        <v>75</v>
      </c>
      <c r="V43" s="6" t="s">
        <v>1749</v>
      </c>
      <c r="X43" s="6" t="s">
        <v>1750</v>
      </c>
      <c r="Y43" s="6"/>
      <c r="Z43" s="6"/>
      <c r="AA43" s="6"/>
      <c r="AB43" s="6"/>
      <c r="AC43" s="6"/>
      <c r="AD43" s="6"/>
      <c r="AE43" s="6"/>
      <c r="AF43" s="6" t="s">
        <v>1751</v>
      </c>
      <c r="AG43" s="6" t="s">
        <v>1750</v>
      </c>
      <c r="AH43" s="6"/>
      <c r="AI43" s="6"/>
      <c r="AJ43" s="6"/>
      <c r="AK43" s="6"/>
      <c r="AL43" s="6"/>
      <c r="AM43" s="6"/>
      <c r="AN43" s="6"/>
      <c r="AO43" s="6" t="s">
        <v>1752</v>
      </c>
      <c r="AP43" s="6" t="s">
        <v>1753</v>
      </c>
      <c r="AQ43" s="6"/>
    </row>
    <row r="44" spans="2:43" ht="33.75" customHeight="1" x14ac:dyDescent="0.15">
      <c r="U44" s="6"/>
      <c r="V44" s="6"/>
      <c r="X44" s="6" t="s">
        <v>1786</v>
      </c>
      <c r="Y44" s="6" t="s">
        <v>1787</v>
      </c>
      <c r="Z44" s="6"/>
      <c r="AA44" s="6"/>
      <c r="AB44" s="6"/>
      <c r="AC44" s="6" t="s">
        <v>1757</v>
      </c>
      <c r="AD44" s="6"/>
      <c r="AE44" s="6"/>
      <c r="AF44" s="6"/>
      <c r="AG44" s="6" t="s">
        <v>1786</v>
      </c>
      <c r="AH44" s="6" t="s">
        <v>1787</v>
      </c>
      <c r="AI44" s="6"/>
      <c r="AJ44" s="6"/>
      <c r="AK44" s="6"/>
      <c r="AL44" s="6" t="s">
        <v>1757</v>
      </c>
      <c r="AM44" s="6"/>
      <c r="AN44" s="6"/>
      <c r="AO44" s="6"/>
      <c r="AP44" s="6"/>
      <c r="AQ44" s="6"/>
    </row>
    <row r="45" spans="2:43" ht="14.25" customHeight="1" x14ac:dyDescent="0.15">
      <c r="U45" s="6"/>
      <c r="V45" s="6"/>
      <c r="X45" s="6"/>
      <c r="Y45" s="6" t="s">
        <v>1788</v>
      </c>
      <c r="Z45" s="6" t="s">
        <v>1789</v>
      </c>
      <c r="AA45" s="6"/>
      <c r="AB45" s="6"/>
      <c r="AC45" s="6"/>
      <c r="AD45" s="6"/>
      <c r="AE45" s="6"/>
      <c r="AF45" s="6"/>
      <c r="AG45" s="6"/>
      <c r="AH45" s="6" t="s">
        <v>1788</v>
      </c>
      <c r="AI45" s="6" t="s">
        <v>1789</v>
      </c>
      <c r="AJ45" s="6"/>
      <c r="AK45" s="6"/>
      <c r="AL45" s="6"/>
      <c r="AM45" s="6"/>
      <c r="AN45" s="6"/>
      <c r="AO45" s="6"/>
      <c r="AP45" s="6"/>
      <c r="AQ45" s="6"/>
    </row>
    <row r="46" spans="2:43" ht="25.5" customHeight="1" x14ac:dyDescent="0.15">
      <c r="U46" s="6"/>
      <c r="V46" s="6"/>
      <c r="X46" s="6"/>
      <c r="Y46" s="6"/>
      <c r="Z46" s="6" t="s">
        <v>1790</v>
      </c>
      <c r="AA46" s="6" t="s">
        <v>1791</v>
      </c>
      <c r="AB46" s="6"/>
      <c r="AC46" s="6" t="s">
        <v>1767</v>
      </c>
      <c r="AD46" s="6" t="s">
        <v>1768</v>
      </c>
      <c r="AE46" s="6"/>
      <c r="AF46" s="6"/>
      <c r="AG46" s="6"/>
      <c r="AH46" s="6"/>
      <c r="AI46" s="6" t="s">
        <v>1790</v>
      </c>
      <c r="AJ46" s="6" t="s">
        <v>1791</v>
      </c>
      <c r="AK46" s="6"/>
      <c r="AL46" s="6" t="s">
        <v>1767</v>
      </c>
      <c r="AM46" s="6" t="s">
        <v>1768</v>
      </c>
      <c r="AN46" s="6"/>
      <c r="AO46" s="6"/>
      <c r="AP46" s="6"/>
      <c r="AQ46" s="6"/>
    </row>
    <row r="47" spans="2:43" ht="62.25" customHeight="1" x14ac:dyDescent="0.15">
      <c r="B47" t="s">
        <v>443</v>
      </c>
      <c r="C47" t="s">
        <v>444</v>
      </c>
      <c r="D47" t="s">
        <v>445</v>
      </c>
      <c r="E47" t="s">
        <v>1758</v>
      </c>
      <c r="F47" t="s">
        <v>1759</v>
      </c>
      <c r="G47" t="s">
        <v>1760</v>
      </c>
      <c r="H47" t="s">
        <v>1761</v>
      </c>
      <c r="I47" t="s">
        <v>1762</v>
      </c>
      <c r="J47" t="s">
        <v>1763</v>
      </c>
      <c r="K47" t="s">
        <v>1764</v>
      </c>
      <c r="L47" t="s">
        <v>1792</v>
      </c>
      <c r="M47" t="s">
        <v>1739</v>
      </c>
      <c r="U47" s="6"/>
      <c r="V47" s="6"/>
      <c r="X47" s="6"/>
      <c r="Y47" s="6"/>
      <c r="Z47" s="6"/>
      <c r="AA47" t="s">
        <v>1793</v>
      </c>
      <c r="AB47" t="s">
        <v>1794</v>
      </c>
      <c r="AC47" s="6"/>
      <c r="AD47" s="6"/>
      <c r="AE47" s="6"/>
      <c r="AF47" s="6"/>
      <c r="AG47" s="6"/>
      <c r="AH47" s="6"/>
      <c r="AI47" s="6"/>
      <c r="AJ47" t="s">
        <v>1793</v>
      </c>
      <c r="AK47" t="s">
        <v>1794</v>
      </c>
      <c r="AL47" s="6"/>
      <c r="AM47" s="6"/>
      <c r="AN47" s="6"/>
      <c r="AO47" s="6"/>
      <c r="AP47" s="6"/>
      <c r="AQ47" s="6"/>
    </row>
    <row r="48" spans="2:43" ht="11.25" hidden="1" customHeight="1" x14ac:dyDescent="0.15">
      <c r="S48">
        <v>1</v>
      </c>
      <c r="U48" t="s">
        <v>165</v>
      </c>
      <c r="V48" t="s">
        <v>89</v>
      </c>
      <c r="W48" t="str">
        <f ca="1">OFFSET(W48,0,-1)</f>
        <v>2</v>
      </c>
      <c r="X48">
        <f ca="1">OFFSET(X48,0,-1)+1</f>
        <v>3</v>
      </c>
      <c r="AA48">
        <f ca="1">OFFSET(AA48,0,-1)+1</f>
        <v>1</v>
      </c>
      <c r="AB48">
        <f ca="1">OFFSET(AB48,0,-1)+1</f>
        <v>2</v>
      </c>
      <c r="AC48">
        <f ca="1">OFFSET(AC48,0,-1)+1</f>
        <v>3</v>
      </c>
      <c r="AD48" s="6">
        <f ca="1">OFFSET(AD48,0,-1)+1</f>
        <v>4</v>
      </c>
      <c r="AE48" s="6"/>
      <c r="AF48">
        <f ca="1">OFFSET(AF48,0,-2)+1</f>
        <v>5</v>
      </c>
      <c r="AG48">
        <f ca="1">OFFSET(AG48,0,-1)+1</f>
        <v>6</v>
      </c>
      <c r="AJ48">
        <f ca="1">OFFSET(AJ48,0,-1)+1</f>
        <v>1</v>
      </c>
      <c r="AK48">
        <f ca="1">OFFSET(AK48,0,-1)+1</f>
        <v>2</v>
      </c>
      <c r="AL48">
        <f ca="1">OFFSET(AL48,0,-1)+1</f>
        <v>3</v>
      </c>
      <c r="AM48" s="6">
        <f ca="1">OFFSET(AM48,0,-1)+1</f>
        <v>4</v>
      </c>
      <c r="AN48" s="6"/>
      <c r="AO48">
        <f ca="1">OFFSET(AO48,0,-2)+1</f>
        <v>5</v>
      </c>
      <c r="AP48">
        <f ca="1">OFFSET(AP48,0,-1)</f>
        <v>5</v>
      </c>
      <c r="AQ48">
        <f ca="1">OFFSET(AQ48,0,-1)+1</f>
        <v>6</v>
      </c>
    </row>
    <row r="49" spans="1:46" ht="21" customHeight="1" x14ac:dyDescent="0.15">
      <c r="A49" t="s">
        <v>478</v>
      </c>
      <c r="E49" s="6">
        <v>1</v>
      </c>
      <c r="U49">
        <f>INDEX(PT_DIFFERENTIATION_NUM_NTAR,MATCH(A49,PT_DIFFERENTIATION_NTAR_ID,0))</f>
        <v>0</v>
      </c>
      <c r="V49" t="s">
        <v>431</v>
      </c>
      <c r="X49" s="6"/>
      <c r="Y49" s="6"/>
      <c r="Z49" s="6"/>
      <c r="AA49" s="6"/>
      <c r="AB49" s="6"/>
      <c r="AC49" s="6"/>
      <c r="AD49" s="6"/>
      <c r="AE49" s="6"/>
      <c r="AF49" s="6"/>
      <c r="AG49" s="6" t="str">
        <f>INDEX(PT_DIFFERENTIATION_NTAR,MATCH(A49,PT_DIFFERENTIATION_NTAR_ID,0))</f>
        <v/>
      </c>
      <c r="AH49" s="6"/>
      <c r="AI49" s="6"/>
      <c r="AJ49" s="6"/>
      <c r="AK49" s="6"/>
      <c r="AL49" s="6"/>
      <c r="AM49" s="6"/>
      <c r="AN49" s="6"/>
      <c r="AO49" s="6"/>
      <c r="AP49" s="6"/>
      <c r="AQ4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T49" t="str">
        <f t="shared" ref="AT49:AT65" si="2">IF(V49="","",V49)</f>
        <v>Наименование тарифа</v>
      </c>
    </row>
    <row r="50" spans="1:46" ht="21" customHeight="1" x14ac:dyDescent="0.15">
      <c r="A50" t="s">
        <v>478</v>
      </c>
      <c r="B50" t="s">
        <v>479</v>
      </c>
      <c r="E50" s="6"/>
      <c r="F50" s="6">
        <v>1</v>
      </c>
      <c r="U50" t="str">
        <f>INDEX(PT_DIFFERENTIATION_NUM_TER,MATCH(B50,PT_DIFFERENTIATION_TER_ID,0))</f>
        <v>.</v>
      </c>
      <c r="V50" t="s">
        <v>1721</v>
      </c>
      <c r="X50" s="6"/>
      <c r="Y50" s="6"/>
      <c r="Z50" s="6"/>
      <c r="AA50" s="6"/>
      <c r="AB50" s="6"/>
      <c r="AC50" s="6"/>
      <c r="AD50" s="6"/>
      <c r="AE50" s="6"/>
      <c r="AF50" s="6"/>
      <c r="AG50" s="6" t="str">
        <f>INDEX(PT_DIFFERENTIATION_TER,MATCH(B50,PT_DIFFERENTIATION_TER_ID,0))</f>
        <v/>
      </c>
      <c r="AH50" s="6"/>
      <c r="AI50" s="6"/>
      <c r="AJ50" s="6"/>
      <c r="AK50" s="6"/>
      <c r="AL50" s="6"/>
      <c r="AM50" s="6"/>
      <c r="AN50" s="6"/>
      <c r="AO50" s="6"/>
      <c r="AP50" s="6"/>
      <c r="AQ50" t="s">
        <v>1722</v>
      </c>
      <c r="AT50" t="str">
        <f t="shared" si="2"/>
        <v>Территория действия тарифа</v>
      </c>
    </row>
    <row r="51" spans="1:46" ht="22.5" customHeight="1" x14ac:dyDescent="0.15">
      <c r="A51" t="s">
        <v>478</v>
      </c>
      <c r="B51" t="s">
        <v>479</v>
      </c>
      <c r="C51" t="s">
        <v>480</v>
      </c>
      <c r="E51" s="6"/>
      <c r="F51" s="6"/>
      <c r="G51" s="6">
        <v>1</v>
      </c>
      <c r="U51" t="str">
        <f>INDEX(PT_DIFFERENTIATION_NUM_CS,MATCH(C51,PT_DIFFERENTIATION_CS_ID,0))</f>
        <v>..</v>
      </c>
      <c r="V51" t="s">
        <v>1723</v>
      </c>
      <c r="X51" s="6"/>
      <c r="Y51" s="6"/>
      <c r="Z51" s="6"/>
      <c r="AA51" s="6"/>
      <c r="AB51" s="6"/>
      <c r="AC51" s="6"/>
      <c r="AD51" s="6"/>
      <c r="AE51" s="6"/>
      <c r="AF51" s="6"/>
      <c r="AG51" s="6" t="str">
        <f>INDEX(PT_DIFFERENTIATION_CS,MATCH(C51,PT_DIFFERENTIATION_CS_ID,0))</f>
        <v/>
      </c>
      <c r="AH51" s="6"/>
      <c r="AI51" s="6"/>
      <c r="AJ51" s="6"/>
      <c r="AK51" s="6"/>
      <c r="AL51" s="6"/>
      <c r="AM51" s="6"/>
      <c r="AN51" s="6"/>
      <c r="AO51" s="6"/>
      <c r="AP51" s="6"/>
      <c r="AQ51" t="s">
        <v>1724</v>
      </c>
      <c r="AT51" t="str">
        <f t="shared" si="2"/>
        <v xml:space="preserve">Наименование системы теплоснабжения </v>
      </c>
    </row>
    <row r="52" spans="1:46" ht="21" customHeight="1" x14ac:dyDescent="0.15">
      <c r="A52" t="s">
        <v>478</v>
      </c>
      <c r="B52" t="s">
        <v>479</v>
      </c>
      <c r="C52" t="s">
        <v>480</v>
      </c>
      <c r="D52" t="s">
        <v>481</v>
      </c>
      <c r="E52" s="6"/>
      <c r="F52" s="6"/>
      <c r="G52" s="6"/>
      <c r="H52" s="6">
        <v>1</v>
      </c>
      <c r="U52" t="str">
        <f>INDEX(PT_DIFFERENTIATION_NUM_IST_TE,MATCH(D52,PT_DIFFERENTIATION_IST_TE_ID,0))</f>
        <v>...</v>
      </c>
      <c r="V52" t="s">
        <v>1725</v>
      </c>
      <c r="X52" s="6"/>
      <c r="Y52" s="6"/>
      <c r="Z52" s="6"/>
      <c r="AA52" s="6"/>
      <c r="AB52" s="6"/>
      <c r="AC52" s="6"/>
      <c r="AD52" s="6"/>
      <c r="AE52" s="6"/>
      <c r="AF52" s="6"/>
      <c r="AG52" s="6" t="str">
        <f>INDEX(PT_DIFFERENTIATION_IST_TE,MATCH(D52,PT_DIFFERENTIATION_IST_TE_ID,0))</f>
        <v/>
      </c>
      <c r="AH52" s="6"/>
      <c r="AI52" s="6"/>
      <c r="AJ52" s="6"/>
      <c r="AK52" s="6"/>
      <c r="AL52" s="6"/>
      <c r="AM52" s="6"/>
      <c r="AN52" s="6"/>
      <c r="AO52" s="6"/>
      <c r="AP52" s="6"/>
      <c r="AQ52" t="s">
        <v>1726</v>
      </c>
      <c r="AT52" t="str">
        <f t="shared" si="2"/>
        <v xml:space="preserve">Источник тепловой энергии  </v>
      </c>
    </row>
    <row r="53" spans="1:46" ht="0" hidden="1" customHeight="1" x14ac:dyDescent="0.15">
      <c r="A53" t="s">
        <v>478</v>
      </c>
      <c r="B53" t="s">
        <v>479</v>
      </c>
      <c r="C53" t="s">
        <v>480</v>
      </c>
      <c r="D53" t="s">
        <v>481</v>
      </c>
      <c r="E53" s="6"/>
      <c r="F53" s="6"/>
      <c r="G53" s="6"/>
      <c r="H53" s="6"/>
      <c r="I53" s="6" t="str">
        <f>U52&amp;".1"</f>
        <v>....1</v>
      </c>
      <c r="M53" t="s">
        <v>1727</v>
      </c>
      <c r="Q53" s="6">
        <v>1</v>
      </c>
      <c r="X53" s="6"/>
      <c r="Y53" s="6"/>
      <c r="Z53" s="6"/>
      <c r="AA53" s="6"/>
      <c r="AB53" s="6"/>
      <c r="AC53" s="6"/>
      <c r="AD53" s="6"/>
      <c r="AE53" s="6"/>
      <c r="AF53" s="6"/>
      <c r="AG53" s="6"/>
      <c r="AH53" s="6"/>
      <c r="AI53" s="6"/>
      <c r="AJ53" s="6"/>
      <c r="AK53" s="6"/>
      <c r="AL53" s="6"/>
      <c r="AM53" s="6"/>
      <c r="AN53" s="6"/>
      <c r="AO53" s="6"/>
      <c r="AP53" s="6"/>
      <c r="AT53" t="str">
        <f t="shared" si="2"/>
        <v/>
      </c>
    </row>
    <row r="54" spans="1:46" ht="21" customHeight="1" x14ac:dyDescent="0.15">
      <c r="A54" t="s">
        <v>478</v>
      </c>
      <c r="B54" t="s">
        <v>479</v>
      </c>
      <c r="C54" t="s">
        <v>480</v>
      </c>
      <c r="D54" t="s">
        <v>481</v>
      </c>
      <c r="E54" s="6"/>
      <c r="F54" s="6"/>
      <c r="G54" s="6"/>
      <c r="H54" s="6"/>
      <c r="I54" s="6"/>
      <c r="J54" s="6" t="str">
        <f>I53&amp;".1"</f>
        <v>....1.1</v>
      </c>
      <c r="M54" t="s">
        <v>1730</v>
      </c>
      <c r="Q54" s="6"/>
      <c r="R54" s="6">
        <v>1</v>
      </c>
      <c r="U54" t="str">
        <f>$J54</f>
        <v>....1.1</v>
      </c>
      <c r="V54" t="s">
        <v>1731</v>
      </c>
      <c r="X54" s="6"/>
      <c r="Y54" s="6"/>
      <c r="Z54" s="6"/>
      <c r="AA54" s="6"/>
      <c r="AB54" s="6"/>
      <c r="AC54" s="6"/>
      <c r="AD54" s="6"/>
      <c r="AE54" s="6"/>
      <c r="AF54" s="6"/>
      <c r="AG54" s="6"/>
      <c r="AH54" s="6"/>
      <c r="AI54" s="6"/>
      <c r="AJ54" s="6"/>
      <c r="AK54" s="6"/>
      <c r="AL54" s="6"/>
      <c r="AM54" s="6"/>
      <c r="AN54" s="6"/>
      <c r="AO54" s="6"/>
      <c r="AP54" s="6"/>
      <c r="AQ54" t="s">
        <v>1732</v>
      </c>
      <c r="AT54" t="str">
        <f t="shared" si="2"/>
        <v>Группа потребителей</v>
      </c>
    </row>
    <row r="55" spans="1:46" ht="21" customHeight="1" x14ac:dyDescent="0.15">
      <c r="A55" t="s">
        <v>478</v>
      </c>
      <c r="B55" t="s">
        <v>479</v>
      </c>
      <c r="C55" t="s">
        <v>480</v>
      </c>
      <c r="D55" t="s">
        <v>481</v>
      </c>
      <c r="E55" s="6"/>
      <c r="F55" s="6"/>
      <c r="G55" s="6"/>
      <c r="H55" s="6"/>
      <c r="I55" s="6"/>
      <c r="J55" s="6"/>
      <c r="K55" s="6" t="str">
        <f>J54&amp;".1"</f>
        <v>....1.1.1</v>
      </c>
      <c r="M55" t="s">
        <v>1733</v>
      </c>
      <c r="Q55" s="6"/>
      <c r="R55" s="6"/>
      <c r="S55">
        <v>1</v>
      </c>
      <c r="U55" t="str">
        <f>$K55</f>
        <v>....1.1.1</v>
      </c>
      <c r="AC55" s="6"/>
      <c r="AD55" s="6" t="s">
        <v>50</v>
      </c>
      <c r="AE55" s="6"/>
      <c r="AF55" s="6" t="s">
        <v>50</v>
      </c>
      <c r="AL55" s="6"/>
      <c r="AM55" s="6" t="s">
        <v>50</v>
      </c>
      <c r="AN55" s="6"/>
      <c r="AO55" s="6" t="s">
        <v>50</v>
      </c>
      <c r="AQ55" t="s">
        <v>1783</v>
      </c>
      <c r="AR55" t="e">
        <f ca="1">STRCHECKDATE(X57:AP57)</f>
        <v>#NAME?</v>
      </c>
      <c r="AT55" t="str">
        <f t="shared" si="2"/>
        <v/>
      </c>
    </row>
    <row r="56" spans="1:46" ht="11.25" customHeight="1" x14ac:dyDescent="0.15">
      <c r="A56" t="s">
        <v>478</v>
      </c>
      <c r="B56" t="s">
        <v>479</v>
      </c>
      <c r="C56" t="s">
        <v>480</v>
      </c>
      <c r="D56" t="s">
        <v>481</v>
      </c>
      <c r="E56" s="6"/>
      <c r="F56" s="6"/>
      <c r="G56" s="6"/>
      <c r="H56" s="6"/>
      <c r="I56" s="6"/>
      <c r="J56" s="6"/>
      <c r="K56" s="6"/>
      <c r="L56" s="6" t="str">
        <f>K55&amp;".1"</f>
        <v>....1.1.1.1</v>
      </c>
      <c r="Q56" s="6"/>
      <c r="R56" s="6"/>
      <c r="S56">
        <v>1</v>
      </c>
      <c r="U56" t="str">
        <f>$L56</f>
        <v>....1.1.1.1</v>
      </c>
      <c r="AC56" s="6"/>
      <c r="AD56" s="6"/>
      <c r="AE56" s="6"/>
      <c r="AF56" s="6"/>
      <c r="AL56" s="6"/>
      <c r="AM56" s="6"/>
      <c r="AN56" s="6"/>
      <c r="AO56" s="6"/>
      <c r="AQ56" s="6" t="s">
        <v>1784</v>
      </c>
      <c r="AR56" t="e">
        <f ca="1">STRCHECKDATE(X58:AP58)</f>
        <v>#NAME?</v>
      </c>
      <c r="AT56" t="str">
        <f t="shared" si="2"/>
        <v/>
      </c>
    </row>
    <row r="57" spans="1:46" ht="0" hidden="1" customHeight="1" x14ac:dyDescent="0.15">
      <c r="A57" t="s">
        <v>478</v>
      </c>
      <c r="B57" t="s">
        <v>479</v>
      </c>
      <c r="C57" t="s">
        <v>480</v>
      </c>
      <c r="D57" t="s">
        <v>481</v>
      </c>
      <c r="E57" s="6"/>
      <c r="F57" s="6"/>
      <c r="G57" s="6"/>
      <c r="H57" s="6"/>
      <c r="I57" s="6"/>
      <c r="J57" s="6"/>
      <c r="K57" s="6"/>
      <c r="L57" s="6"/>
      <c r="Q57" s="6"/>
      <c r="R57" s="6"/>
      <c r="AB57" t="str">
        <f>AC55&amp;"-"&amp;AE55</f>
        <v>-</v>
      </c>
      <c r="AC57" s="6"/>
      <c r="AD57" s="6"/>
      <c r="AE57" s="6"/>
      <c r="AF57" s="6"/>
      <c r="AK57" t="str">
        <f>AL55&amp;"-"&amp;AN55</f>
        <v>-</v>
      </c>
      <c r="AL57" s="6"/>
      <c r="AM57" s="6"/>
      <c r="AN57" s="6"/>
      <c r="AO57" s="6"/>
      <c r="AQ57" s="6"/>
      <c r="AT57" t="str">
        <f t="shared" si="2"/>
        <v/>
      </c>
    </row>
    <row r="58" spans="1:46" ht="11.25" customHeight="1" x14ac:dyDescent="0.15">
      <c r="A58" t="s">
        <v>478</v>
      </c>
      <c r="B58" t="s">
        <v>479</v>
      </c>
      <c r="C58" t="s">
        <v>480</v>
      </c>
      <c r="D58" t="s">
        <v>481</v>
      </c>
      <c r="E58" s="6"/>
      <c r="F58" s="6"/>
      <c r="G58" s="6"/>
      <c r="H58" s="6"/>
      <c r="I58" s="6"/>
      <c r="J58" s="6"/>
      <c r="K58" s="6"/>
      <c r="Q58" s="6"/>
      <c r="R58" s="6"/>
      <c r="V58" t="s">
        <v>1785</v>
      </c>
      <c r="AC58" s="6"/>
      <c r="AD58" s="6"/>
      <c r="AE58" s="6"/>
      <c r="AF58" s="6"/>
      <c r="AL58" s="6"/>
      <c r="AM58" s="6"/>
      <c r="AN58" s="6"/>
      <c r="AO58" s="6"/>
      <c r="AQ58" s="6"/>
      <c r="AT58" t="str">
        <f t="shared" si="2"/>
        <v>Добавить наименование поставщика</v>
      </c>
    </row>
    <row r="59" spans="1:46" ht="11.25" customHeight="1" x14ac:dyDescent="0.15">
      <c r="A59" t="s">
        <v>478</v>
      </c>
      <c r="B59" t="s">
        <v>479</v>
      </c>
      <c r="C59" t="s">
        <v>480</v>
      </c>
      <c r="D59" t="s">
        <v>481</v>
      </c>
      <c r="E59" s="6"/>
      <c r="F59" s="6"/>
      <c r="G59" s="6"/>
      <c r="H59" s="6"/>
      <c r="I59" s="6"/>
      <c r="J59" s="6"/>
      <c r="Q59" s="6"/>
      <c r="R59" s="6"/>
      <c r="V59" t="s">
        <v>1735</v>
      </c>
      <c r="AQ59" s="6"/>
      <c r="AT59" t="str">
        <f t="shared" si="2"/>
        <v>Добавить вид теплоносителя (параметры теплоносителя)</v>
      </c>
    </row>
    <row r="60" spans="1:46" ht="11.25" customHeight="1" x14ac:dyDescent="0.15">
      <c r="A60" t="s">
        <v>478</v>
      </c>
      <c r="B60" t="s">
        <v>479</v>
      </c>
      <c r="C60" t="s">
        <v>480</v>
      </c>
      <c r="D60" t="s">
        <v>481</v>
      </c>
      <c r="E60" s="6"/>
      <c r="F60" s="6"/>
      <c r="G60" s="6"/>
      <c r="H60" s="6"/>
      <c r="I60" s="6"/>
      <c r="Q60" s="6"/>
      <c r="V60" t="s">
        <v>1736</v>
      </c>
      <c r="AT60" t="str">
        <f t="shared" si="2"/>
        <v>Добавить группу потребителей</v>
      </c>
    </row>
    <row r="61" spans="1:46" ht="0" hidden="1" customHeight="1" x14ac:dyDescent="0.15">
      <c r="A61" t="s">
        <v>478</v>
      </c>
      <c r="B61" t="s">
        <v>479</v>
      </c>
      <c r="C61" t="s">
        <v>480</v>
      </c>
      <c r="D61" t="s">
        <v>481</v>
      </c>
      <c r="E61" s="6"/>
      <c r="F61" s="6"/>
      <c r="G61" s="6"/>
      <c r="H61" s="6"/>
      <c r="AT61" t="str">
        <f t="shared" si="2"/>
        <v/>
      </c>
    </row>
    <row r="62" spans="1:46" ht="0.75" customHeight="1" x14ac:dyDescent="0.15">
      <c r="A62" t="s">
        <v>478</v>
      </c>
      <c r="B62" t="s">
        <v>479</v>
      </c>
      <c r="C62" t="s">
        <v>480</v>
      </c>
      <c r="E62" s="6"/>
      <c r="F62" s="6"/>
      <c r="G62" s="6"/>
      <c r="V62" t="s">
        <v>1696</v>
      </c>
      <c r="AT62" t="str">
        <f t="shared" si="2"/>
        <v>Добавить источник для дифференциации</v>
      </c>
    </row>
    <row r="63" spans="1:46" ht="0.75" customHeight="1" x14ac:dyDescent="0.15">
      <c r="A63" t="s">
        <v>478</v>
      </c>
      <c r="B63" t="s">
        <v>479</v>
      </c>
      <c r="E63" s="6"/>
      <c r="F63" s="6"/>
      <c r="V63" t="s">
        <v>1697</v>
      </c>
      <c r="AT63" t="str">
        <f t="shared" si="2"/>
        <v>Добавить централизованную систему для дифференциации</v>
      </c>
    </row>
    <row r="64" spans="1:46" ht="0.75" customHeight="1" x14ac:dyDescent="0.15">
      <c r="A64" t="s">
        <v>478</v>
      </c>
      <c r="E64" s="6"/>
      <c r="V64" t="s">
        <v>1698</v>
      </c>
      <c r="AT64" t="str">
        <f t="shared" si="2"/>
        <v>Добавить территорию для дифференциации</v>
      </c>
    </row>
    <row r="65" spans="21:46" ht="0.75" customHeight="1" x14ac:dyDescent="0.15">
      <c r="V65" t="s">
        <v>1699</v>
      </c>
      <c r="AT65" t="str">
        <f t="shared" si="2"/>
        <v>Добавить наименование тарифа</v>
      </c>
    </row>
    <row r="66" spans="21:46" ht="11.25" hidden="1" customHeight="1" x14ac:dyDescent="0.15"/>
    <row r="67" spans="21:46" ht="33.75" hidden="1" customHeight="1" x14ac:dyDescent="0.15">
      <c r="U67" t="s">
        <v>1769</v>
      </c>
      <c r="V67" s="6" t="s">
        <v>1779</v>
      </c>
      <c r="W67" s="6"/>
      <c r="X67" s="6"/>
      <c r="Y67" s="6"/>
      <c r="Z67" s="6"/>
      <c r="AA67" s="6"/>
      <c r="AB67" s="6"/>
      <c r="AC67" s="6"/>
      <c r="AD67" s="6"/>
      <c r="AE67" s="6"/>
      <c r="AF67" s="6"/>
      <c r="AG67" s="6"/>
      <c r="AH67" s="6"/>
      <c r="AI67" s="6"/>
      <c r="AJ67" s="6"/>
      <c r="AK67" s="6"/>
      <c r="AL67" s="6"/>
      <c r="AM67" s="6"/>
      <c r="AN67" s="6"/>
      <c r="AO67" s="6"/>
      <c r="AP67" s="6"/>
      <c r="AQ67" s="6"/>
    </row>
    <row r="68" spans="21:46" ht="19.5" hidden="1" customHeight="1" x14ac:dyDescent="0.15">
      <c r="V68" s="6" t="s">
        <v>1795</v>
      </c>
      <c r="W68" s="6"/>
      <c r="X68" s="6"/>
      <c r="Y68" s="6"/>
      <c r="Z68" s="6"/>
      <c r="AA68" s="6"/>
      <c r="AB68" s="6"/>
      <c r="AC68" s="6"/>
      <c r="AD68" s="6"/>
      <c r="AE68" s="6"/>
      <c r="AF68" s="6"/>
      <c r="AG68" s="6"/>
      <c r="AH68" s="6"/>
      <c r="AI68" s="6"/>
      <c r="AJ68" s="6"/>
      <c r="AK68" s="6"/>
      <c r="AL68" s="6"/>
      <c r="AM68" s="6"/>
      <c r="AN68" s="6"/>
      <c r="AO68" s="6"/>
      <c r="AP68" s="6"/>
      <c r="AQ68" s="6"/>
    </row>
    <row r="69" spans="21:46" ht="14.25" hidden="1" customHeight="1" x14ac:dyDescent="0.15"/>
    <row r="70" spans="21:46" ht="27" hidden="1" customHeight="1" x14ac:dyDescent="0.15">
      <c r="V70" s="6" t="s">
        <v>1796</v>
      </c>
      <c r="W70" s="6"/>
      <c r="X70" s="6"/>
      <c r="Y70" s="6"/>
      <c r="Z70" s="6"/>
      <c r="AA70" s="6"/>
      <c r="AB70" s="6"/>
      <c r="AC70" s="6"/>
      <c r="AD70" s="6"/>
      <c r="AE70" s="6"/>
      <c r="AF70" s="6"/>
      <c r="AG70" s="6"/>
      <c r="AH70" s="6"/>
      <c r="AI70" s="6"/>
      <c r="AJ70" s="6"/>
      <c r="AK70" s="6"/>
      <c r="AL70" s="6"/>
      <c r="AM70" s="6"/>
      <c r="AN70" s="6"/>
      <c r="AO70" s="6"/>
      <c r="AP70" s="6"/>
      <c r="AQ70" s="6"/>
    </row>
    <row r="71" spans="21:46" ht="18" hidden="1" customHeight="1" x14ac:dyDescent="0.15">
      <c r="V71" s="6" t="s">
        <v>1795</v>
      </c>
      <c r="W71" s="6"/>
      <c r="X71" s="6"/>
      <c r="Y71" s="6"/>
      <c r="Z71" s="6"/>
      <c r="AA71" s="6"/>
      <c r="AB71" s="6"/>
      <c r="AC71" s="6"/>
      <c r="AD71" s="6"/>
      <c r="AE71" s="6"/>
      <c r="AF71" s="6"/>
      <c r="AG71" s="6"/>
      <c r="AH71" s="6"/>
      <c r="AI71" s="6"/>
      <c r="AJ71" s="6"/>
      <c r="AK71" s="6"/>
      <c r="AL71" s="6"/>
      <c r="AM71" s="6"/>
      <c r="AN71" s="6"/>
      <c r="AO71" s="6"/>
      <c r="AP71" s="6"/>
      <c r="AQ71" s="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68"/>
  <sheetViews>
    <sheetView showGridLines="0" topLeftCell="R26"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3" width="21.7109375" hidden="1" customWidth="1"/>
    <col min="24" max="24" width="11.7109375" hidden="1" customWidth="1"/>
    <col min="25" max="25" width="3.7109375" hidden="1" customWidth="1"/>
    <col min="26" max="26" width="11.7109375" hidden="1" customWidth="1"/>
    <col min="27" max="27" width="8.5703125" hidden="1" customWidth="1"/>
    <col min="28" max="28" width="5.42578125" customWidth="1"/>
    <col min="29" max="30" width="3.7109375" customWidth="1"/>
    <col min="31" max="31" width="24.7109375" customWidth="1"/>
    <col min="32" max="34" width="3.7109375" customWidth="1"/>
    <col min="35" max="35" width="24.7109375" customWidth="1"/>
    <col min="36" max="38" width="3.7109375" customWidth="1"/>
    <col min="39" max="39" width="18.85546875" customWidth="1"/>
    <col min="40" max="41" width="21.7109375" customWidth="1"/>
    <col min="42" max="42" width="11.7109375" customWidth="1"/>
    <col min="43" max="43" width="3.7109375" customWidth="1"/>
    <col min="44" max="44" width="11.7109375" customWidth="1"/>
    <col min="45" max="45" width="8.5703125" customWidth="1"/>
    <col min="46" max="46" width="4.7109375" customWidth="1"/>
    <col min="47" max="47" width="115.7109375" customWidth="1"/>
    <col min="50" max="50" width="11.140625" customWidth="1"/>
  </cols>
  <sheetData>
    <row r="1" spans="5:50" ht="14.25" hidden="1" customHeight="1" x14ac:dyDescent="0.15"/>
    <row r="2" spans="5:50" ht="21" hidden="1" customHeight="1" x14ac:dyDescent="0.15">
      <c r="E2" s="6">
        <v>1</v>
      </c>
      <c r="S2" t="e">
        <f>INDEX(PT_DIFFERENTIATION_NUM_NTAR,MATCH(A2,PT_DIFFERENTIATION_NTAR_ID,0))</f>
        <v>#N/A</v>
      </c>
      <c r="T2" t="s">
        <v>431</v>
      </c>
      <c r="V2" s="6"/>
      <c r="W2" s="6"/>
      <c r="X2" s="6"/>
      <c r="Y2" s="6"/>
      <c r="Z2" s="6"/>
      <c r="AA2" s="6"/>
      <c r="AB2" s="6" t="e">
        <f>INDEX(PT_DIFFERENTIATION_NTAR,MATCH(A2,PT_DIFFERENTIATION_NTAR_ID,0))</f>
        <v>#N/A</v>
      </c>
      <c r="AC2" s="6"/>
      <c r="AD2" s="6"/>
      <c r="AE2" s="6"/>
      <c r="AF2" s="6"/>
      <c r="AG2" s="6"/>
      <c r="AH2" s="6"/>
      <c r="AI2" s="6"/>
      <c r="AJ2" s="6"/>
      <c r="AK2" s="6"/>
      <c r="AL2" s="6"/>
      <c r="AM2" s="6"/>
      <c r="AN2" s="6"/>
      <c r="AO2" s="6"/>
      <c r="AP2" s="6"/>
      <c r="AQ2" s="6"/>
      <c r="AR2" s="6"/>
      <c r="AS2" s="6"/>
      <c r="AT2" s="6"/>
      <c r="AU2" t="s">
        <v>1720</v>
      </c>
      <c r="AX2" t="str">
        <f t="shared" ref="AX2:AX8" si="0">IF(T2="","",T2)</f>
        <v>Наименование тарифа</v>
      </c>
    </row>
    <row r="3" spans="5:50" ht="21" hidden="1" customHeight="1" x14ac:dyDescent="0.15">
      <c r="E3" s="6"/>
      <c r="F3" s="6">
        <v>1</v>
      </c>
      <c r="S3" t="e">
        <f>INDEX(PT_DIFFERENTIATION_NUM_TER,MATCH(B3,PT_DIFFERENTIATION_TER_ID,0))</f>
        <v>#N/A</v>
      </c>
      <c r="T3" t="s">
        <v>1721</v>
      </c>
      <c r="V3" s="6"/>
      <c r="W3" s="6"/>
      <c r="X3" s="6"/>
      <c r="Y3" s="6"/>
      <c r="Z3" s="6"/>
      <c r="AA3" s="6"/>
      <c r="AB3" s="6" t="e">
        <f>INDEX(PT_DIFFERENTIATION_TER,MATCH(B3,PT_DIFFERENTIATION_TER_ID,0))</f>
        <v>#N/A</v>
      </c>
      <c r="AC3" s="6"/>
      <c r="AD3" s="6"/>
      <c r="AE3" s="6"/>
      <c r="AF3" s="6"/>
      <c r="AG3" s="6"/>
      <c r="AH3" s="6"/>
      <c r="AI3" s="6"/>
      <c r="AJ3" s="6"/>
      <c r="AK3" s="6"/>
      <c r="AL3" s="6"/>
      <c r="AM3" s="6"/>
      <c r="AN3" s="6"/>
      <c r="AO3" s="6"/>
      <c r="AP3" s="6"/>
      <c r="AQ3" s="6"/>
      <c r="AR3" s="6"/>
      <c r="AS3" s="6"/>
      <c r="AT3" s="6"/>
      <c r="AU3" t="s">
        <v>1722</v>
      </c>
      <c r="AX3" t="str">
        <f t="shared" si="0"/>
        <v>Территория действия тарифа</v>
      </c>
    </row>
    <row r="4" spans="5:50" ht="22.5" hidden="1" customHeight="1" x14ac:dyDescent="0.15">
      <c r="E4" s="6"/>
      <c r="F4" s="6"/>
      <c r="G4" s="6">
        <v>1</v>
      </c>
      <c r="S4" t="e">
        <f>INDEX(PT_DIFFERENTIATION_NUM_CS,MATCH(C4,PT_DIFFERENTIATION_CS_ID,0))</f>
        <v>#N/A</v>
      </c>
      <c r="T4" t="s">
        <v>1723</v>
      </c>
      <c r="V4" s="6"/>
      <c r="W4" s="6"/>
      <c r="X4" s="6"/>
      <c r="Y4" s="6"/>
      <c r="Z4" s="6"/>
      <c r="AA4" s="6"/>
      <c r="AB4" s="6" t="e">
        <f>INDEX(PT_DIFFERENTIATION_CS,MATCH(C4,PT_DIFFERENTIATION_CS_ID,0))</f>
        <v>#N/A</v>
      </c>
      <c r="AC4" s="6"/>
      <c r="AD4" s="6"/>
      <c r="AE4" s="6"/>
      <c r="AF4" s="6"/>
      <c r="AG4" s="6"/>
      <c r="AH4" s="6"/>
      <c r="AI4" s="6"/>
      <c r="AJ4" s="6"/>
      <c r="AK4" s="6"/>
      <c r="AL4" s="6"/>
      <c r="AM4" s="6"/>
      <c r="AN4" s="6"/>
      <c r="AO4" s="6"/>
      <c r="AP4" s="6"/>
      <c r="AQ4" s="6"/>
      <c r="AR4" s="6"/>
      <c r="AS4" s="6"/>
      <c r="AT4" s="6"/>
      <c r="AU4" t="s">
        <v>1724</v>
      </c>
      <c r="AX4" t="str">
        <f t="shared" si="0"/>
        <v xml:space="preserve">Наименование системы теплоснабжения </v>
      </c>
    </row>
    <row r="5" spans="5:50" ht="21" hidden="1" customHeight="1" x14ac:dyDescent="0.15">
      <c r="E5" s="6"/>
      <c r="F5" s="6"/>
      <c r="G5" s="6"/>
      <c r="H5" s="6">
        <v>1</v>
      </c>
      <c r="S5" t="e">
        <f>INDEX(PT_DIFFERENTIATION_NUM_IST_TE,MATCH(D5,PT_DIFFERENTIATION_IST_TE_ID,0))</f>
        <v>#N/A</v>
      </c>
      <c r="T5" t="s">
        <v>1725</v>
      </c>
      <c r="V5" s="6"/>
      <c r="W5" s="6"/>
      <c r="X5" s="6"/>
      <c r="Y5" s="6"/>
      <c r="Z5" s="6"/>
      <c r="AA5" s="6"/>
      <c r="AB5" s="6" t="e">
        <f>INDEX(PT_DIFFERENTIATION_IST_TE,MATCH(D5,PT_DIFFERENTIATION_IST_TE_ID,0))</f>
        <v>#N/A</v>
      </c>
      <c r="AC5" s="6"/>
      <c r="AD5" s="6"/>
      <c r="AE5" s="6"/>
      <c r="AF5" s="6"/>
      <c r="AG5" s="6"/>
      <c r="AH5" s="6"/>
      <c r="AI5" s="6"/>
      <c r="AJ5" s="6"/>
      <c r="AK5" s="6"/>
      <c r="AL5" s="6"/>
      <c r="AM5" s="6"/>
      <c r="AN5" s="6"/>
      <c r="AO5" s="6"/>
      <c r="AP5" s="6"/>
      <c r="AQ5" s="6"/>
      <c r="AR5" s="6"/>
      <c r="AS5" s="6"/>
      <c r="AT5" s="6"/>
      <c r="AU5" t="s">
        <v>1726</v>
      </c>
      <c r="AX5" t="str">
        <f t="shared" si="0"/>
        <v xml:space="preserve">Источник тепловой энергии  </v>
      </c>
    </row>
    <row r="6" spans="5:50" ht="14.25" hidden="1" customHeight="1" x14ac:dyDescent="0.15">
      <c r="E6" s="6"/>
      <c r="F6" s="6"/>
      <c r="G6" s="6"/>
      <c r="H6" s="6"/>
      <c r="I6" s="6" t="e">
        <f>S5&amp;".1"</f>
        <v>#N/A</v>
      </c>
      <c r="L6" t="s">
        <v>1727</v>
      </c>
      <c r="P6" s="6">
        <v>1</v>
      </c>
      <c r="V6" s="6"/>
      <c r="W6" s="6"/>
      <c r="X6" s="6"/>
      <c r="Y6" s="6"/>
      <c r="Z6" s="6"/>
      <c r="AA6" s="6"/>
      <c r="AB6" s="6"/>
      <c r="AC6" s="6"/>
      <c r="AD6" s="6"/>
      <c r="AE6" s="6"/>
      <c r="AF6" s="6"/>
      <c r="AG6" s="6"/>
      <c r="AH6" s="6"/>
      <c r="AI6" s="6"/>
      <c r="AJ6" s="6"/>
      <c r="AK6" s="6"/>
      <c r="AL6" s="6"/>
      <c r="AM6" s="6"/>
      <c r="AN6" s="6"/>
      <c r="AO6" s="6"/>
      <c r="AP6" s="6"/>
      <c r="AQ6" s="6"/>
      <c r="AR6" s="6"/>
      <c r="AS6" s="6"/>
      <c r="AT6" s="6"/>
      <c r="AX6" t="str">
        <f t="shared" si="0"/>
        <v/>
      </c>
    </row>
    <row r="7" spans="5:50" ht="14.25" hidden="1" customHeight="1" x14ac:dyDescent="0.15">
      <c r="E7" s="6"/>
      <c r="F7" s="6"/>
      <c r="G7" s="6"/>
      <c r="H7" s="6"/>
      <c r="I7" s="6"/>
      <c r="J7" s="6" t="e">
        <f>S5&amp;".1"</f>
        <v>#N/A</v>
      </c>
      <c r="P7" s="6"/>
      <c r="Q7" s="6">
        <v>1</v>
      </c>
      <c r="V7" s="6"/>
      <c r="W7" s="6"/>
      <c r="X7" s="6"/>
      <c r="Y7" s="6"/>
      <c r="Z7" s="6"/>
      <c r="AA7" s="6"/>
      <c r="AB7" s="6"/>
      <c r="AC7" s="6"/>
      <c r="AD7" s="6"/>
      <c r="AE7" s="6"/>
      <c r="AF7" s="6"/>
      <c r="AG7" s="6"/>
      <c r="AH7" s="6"/>
      <c r="AI7" s="6"/>
      <c r="AJ7" s="6"/>
      <c r="AK7" s="6"/>
      <c r="AL7" s="6"/>
      <c r="AM7" s="6"/>
      <c r="AN7" s="6"/>
      <c r="AO7" s="6"/>
      <c r="AP7" s="6"/>
      <c r="AQ7" s="6"/>
      <c r="AR7" s="6"/>
      <c r="AS7" s="6"/>
      <c r="AT7" s="6"/>
      <c r="AX7" t="str">
        <f t="shared" si="0"/>
        <v/>
      </c>
    </row>
    <row r="8" spans="5:50" ht="21" hidden="1" customHeight="1" x14ac:dyDescent="0.15">
      <c r="E8" s="6"/>
      <c r="F8" s="6"/>
      <c r="G8" s="6"/>
      <c r="H8" s="6"/>
      <c r="I8" s="6"/>
      <c r="J8" s="6"/>
      <c r="K8" s="6" t="e">
        <f>S5&amp;".1"</f>
        <v>#N/A</v>
      </c>
      <c r="P8" s="6"/>
      <c r="Q8" s="6"/>
      <c r="R8" s="6">
        <v>1</v>
      </c>
      <c r="S8" s="6" t="e">
        <f>$K8</f>
        <v>#N/A</v>
      </c>
      <c r="T8" s="6"/>
      <c r="X8" s="6"/>
      <c r="Y8" s="6" t="s">
        <v>50</v>
      </c>
      <c r="Z8" s="6"/>
      <c r="AA8" s="6" t="s">
        <v>50</v>
      </c>
      <c r="AB8" s="6" t="s">
        <v>43</v>
      </c>
      <c r="AC8" s="6"/>
      <c r="AD8" s="6">
        <v>1</v>
      </c>
      <c r="AE8" s="6"/>
      <c r="AF8" s="6" t="s">
        <v>43</v>
      </c>
      <c r="AG8" s="6"/>
      <c r="AH8" s="6">
        <v>1</v>
      </c>
      <c r="AI8" s="6"/>
      <c r="AJ8" s="6" t="s">
        <v>43</v>
      </c>
      <c r="AL8">
        <v>1</v>
      </c>
      <c r="AQ8" t="s">
        <v>50</v>
      </c>
      <c r="AS8" t="s">
        <v>50</v>
      </c>
      <c r="AU8" s="6" t="s">
        <v>1797</v>
      </c>
      <c r="AV8" t="e">
        <f ca="1">STRCHECKDATE(V11:AT11)</f>
        <v>#NAME?</v>
      </c>
      <c r="AX8" t="str">
        <f t="shared" si="0"/>
        <v/>
      </c>
    </row>
    <row r="9" spans="5:50" ht="11.25" hidden="1" customHeight="1" x14ac:dyDescent="0.15">
      <c r="E9" s="6"/>
      <c r="F9" s="6"/>
      <c r="G9" s="6"/>
      <c r="H9" s="6"/>
      <c r="I9" s="6"/>
      <c r="J9" s="6"/>
      <c r="K9" s="6"/>
      <c r="P9" s="6"/>
      <c r="Q9" s="6"/>
      <c r="R9" s="6"/>
      <c r="S9" s="6"/>
      <c r="T9" s="6"/>
      <c r="X9" s="6"/>
      <c r="Y9" s="6"/>
      <c r="Z9" s="6"/>
      <c r="AA9" s="6"/>
      <c r="AB9" s="6"/>
      <c r="AC9" s="6"/>
      <c r="AD9" s="6"/>
      <c r="AE9" s="6"/>
      <c r="AF9" s="6"/>
      <c r="AG9" s="6"/>
      <c r="AH9" s="6"/>
      <c r="AI9" s="6"/>
      <c r="AJ9" s="6"/>
      <c r="AM9" t="s">
        <v>1798</v>
      </c>
      <c r="AU9" s="6"/>
    </row>
    <row r="10" spans="5:50" ht="11.25" hidden="1" customHeight="1" x14ac:dyDescent="0.15">
      <c r="E10" s="6"/>
      <c r="F10" s="6"/>
      <c r="G10" s="6"/>
      <c r="H10" s="6"/>
      <c r="I10" s="6"/>
      <c r="J10" s="6"/>
      <c r="K10" s="6"/>
      <c r="P10" s="6"/>
      <c r="Q10" s="6"/>
      <c r="R10" s="6"/>
      <c r="S10" s="6"/>
      <c r="T10" s="6"/>
      <c r="X10" s="6"/>
      <c r="Y10" s="6"/>
      <c r="Z10" s="6"/>
      <c r="AA10" s="6"/>
      <c r="AB10" s="6"/>
      <c r="AC10" s="6"/>
      <c r="AD10" s="6"/>
      <c r="AE10" s="6"/>
      <c r="AF10" s="6"/>
      <c r="AI10" t="s">
        <v>1799</v>
      </c>
      <c r="AU10" s="6"/>
    </row>
    <row r="11" spans="5:50" ht="11.25" hidden="1" customHeight="1" x14ac:dyDescent="0.15">
      <c r="E11" s="6"/>
      <c r="F11" s="6"/>
      <c r="G11" s="6"/>
      <c r="H11" s="6"/>
      <c r="I11" s="6"/>
      <c r="J11" s="6"/>
      <c r="K11" s="6"/>
      <c r="P11" s="6"/>
      <c r="Q11" s="6"/>
      <c r="R11" s="6"/>
      <c r="S11" s="6"/>
      <c r="T11" s="6"/>
      <c r="W11" t="str">
        <f>X8&amp;"-"&amp;Z8</f>
        <v>-</v>
      </c>
      <c r="X11" s="6"/>
      <c r="Y11" s="6"/>
      <c r="Z11" s="6"/>
      <c r="AA11" s="6"/>
      <c r="AB11" s="6"/>
      <c r="AE11" t="s">
        <v>1800</v>
      </c>
      <c r="AO11" t="str">
        <f>AP8&amp;"-"&amp;AR8</f>
        <v>-</v>
      </c>
      <c r="AU11" s="6"/>
      <c r="AX11" t="str">
        <f t="shared" ref="AX11:AX17" si="1">IF(T11="","",T11)</f>
        <v/>
      </c>
    </row>
    <row r="12" spans="5:50" ht="11.25" hidden="1" customHeight="1" x14ac:dyDescent="0.15">
      <c r="E12" s="6"/>
      <c r="F12" s="6"/>
      <c r="G12" s="6"/>
      <c r="H12" s="6"/>
      <c r="I12" s="6"/>
      <c r="J12" s="6"/>
      <c r="P12" s="6"/>
      <c r="Q12" s="6"/>
      <c r="T12" t="s">
        <v>1801</v>
      </c>
      <c r="AU12" s="6"/>
      <c r="AX12" t="str">
        <f t="shared" si="1"/>
        <v>Добавить строку</v>
      </c>
    </row>
    <row r="13" spans="5:50" ht="14.25" hidden="1" customHeight="1" x14ac:dyDescent="0.15">
      <c r="E13" s="6"/>
      <c r="F13" s="6"/>
      <c r="G13" s="6"/>
      <c r="H13" s="6"/>
      <c r="I13" s="6"/>
      <c r="P13" s="6"/>
      <c r="AX13" t="str">
        <f t="shared" si="1"/>
        <v/>
      </c>
    </row>
    <row r="14" spans="5:50" ht="14.25" hidden="1" customHeight="1" x14ac:dyDescent="0.15">
      <c r="E14" s="6"/>
      <c r="F14" s="6"/>
      <c r="G14" s="6"/>
      <c r="H14" s="6"/>
      <c r="AX14" t="str">
        <f t="shared" si="1"/>
        <v/>
      </c>
    </row>
    <row r="15" spans="5:50" ht="14.25" hidden="1" customHeight="1" x14ac:dyDescent="0.15">
      <c r="E15" s="6"/>
      <c r="F15" s="6"/>
      <c r="G15" s="6"/>
      <c r="T15" t="s">
        <v>1696</v>
      </c>
      <c r="AX15" t="str">
        <f t="shared" si="1"/>
        <v>Добавить источник для дифференциации</v>
      </c>
    </row>
    <row r="16" spans="5:50" ht="14.25" hidden="1" customHeight="1" x14ac:dyDescent="0.15">
      <c r="E16" s="6"/>
      <c r="F16" s="6"/>
      <c r="T16" t="s">
        <v>1697</v>
      </c>
      <c r="AX16" t="str">
        <f t="shared" si="1"/>
        <v>Добавить централизованную систему для дифференциации</v>
      </c>
    </row>
    <row r="17" spans="5:50" ht="14.25" hidden="1" customHeight="1" x14ac:dyDescent="0.15">
      <c r="E17" s="6"/>
      <c r="T17" t="s">
        <v>1698</v>
      </c>
      <c r="AX17" t="str">
        <f t="shared" si="1"/>
        <v>Добавить территорию для дифференциации</v>
      </c>
    </row>
    <row r="18" spans="5:50" ht="14.25" hidden="1" customHeight="1" x14ac:dyDescent="0.15"/>
    <row r="19" spans="5:50" ht="14.25" hidden="1" customHeight="1" x14ac:dyDescent="0.15">
      <c r="AB19" t="s">
        <v>43</v>
      </c>
      <c r="AD19">
        <v>1</v>
      </c>
      <c r="AF19" t="s">
        <v>43</v>
      </c>
      <c r="AH19">
        <v>1</v>
      </c>
      <c r="AJ19" t="s">
        <v>43</v>
      </c>
      <c r="AL19">
        <v>1</v>
      </c>
      <c r="AQ19" t="s">
        <v>50</v>
      </c>
      <c r="AS19" t="s">
        <v>50</v>
      </c>
    </row>
    <row r="20" spans="5:50" ht="14.25" hidden="1" customHeight="1" x14ac:dyDescent="0.15"/>
    <row r="21" spans="5:50" ht="14.25" hidden="1" customHeight="1" x14ac:dyDescent="0.15">
      <c r="O21" t="s">
        <v>1738</v>
      </c>
    </row>
    <row r="22" spans="5:50" ht="14.25" hidden="1" customHeight="1" x14ac:dyDescent="0.15"/>
    <row r="23" spans="5:50" ht="14.25" hidden="1" customHeight="1" x14ac:dyDescent="0.15">
      <c r="O23" t="s">
        <v>1739</v>
      </c>
      <c r="Y23" t="s">
        <v>1741</v>
      </c>
      <c r="AA23" t="s">
        <v>1742</v>
      </c>
      <c r="AB23" t="s">
        <v>1802</v>
      </c>
      <c r="AE23" t="s">
        <v>1803</v>
      </c>
      <c r="AF23" t="s">
        <v>1802</v>
      </c>
      <c r="AI23" t="s">
        <v>1804</v>
      </c>
      <c r="AJ23" t="s">
        <v>1802</v>
      </c>
      <c r="AM23" t="s">
        <v>1805</v>
      </c>
      <c r="AQ23" t="s">
        <v>1741</v>
      </c>
      <c r="AS23" t="s">
        <v>1742</v>
      </c>
    </row>
    <row r="24" spans="5:50" ht="14.25" hidden="1" customHeight="1" x14ac:dyDescent="0.15"/>
    <row r="25" spans="5:50" ht="14.25" hidden="1" customHeight="1" x14ac:dyDescent="0.15"/>
    <row r="27" spans="5:50" ht="33.75" customHeight="1" x14ac:dyDescent="0.15">
      <c r="S27" s="6"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6"/>
      <c r="U27" s="6"/>
      <c r="V27" s="6"/>
      <c r="W27" s="6"/>
      <c r="X27" s="6"/>
      <c r="Y27" s="6"/>
      <c r="Z27" s="6"/>
      <c r="AA27" s="6"/>
      <c r="AB27" s="6"/>
      <c r="AC27" s="6"/>
      <c r="AD27" s="6"/>
      <c r="AE27" s="6"/>
      <c r="AF27" s="6"/>
      <c r="AG27" s="6"/>
      <c r="AH27" s="6"/>
      <c r="AI27" s="6"/>
      <c r="AJ27" s="6"/>
      <c r="AK27" s="6"/>
      <c r="AL27" s="6"/>
      <c r="AM27" s="6"/>
      <c r="AN27" s="6"/>
      <c r="AO27" s="6"/>
      <c r="AP27" s="6"/>
      <c r="AQ27" s="6"/>
      <c r="AR27" s="6"/>
    </row>
    <row r="28" spans="5:50" ht="14.25" customHeight="1" x14ac:dyDescent="0.15">
      <c r="S28" s="6" t="str">
        <f>IF(org=0,"Не определено",org)</f>
        <v>КГУП "Примтеплоэнерго"</v>
      </c>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5:50" ht="14.25" hidden="1" customHeight="1" x14ac:dyDescent="0.15"/>
    <row r="30" spans="5:50" ht="25.5" hidden="1" customHeight="1" x14ac:dyDescent="0.15">
      <c r="S30" s="6" t="s">
        <v>25</v>
      </c>
      <c r="T30" s="6"/>
      <c r="V30" s="6"/>
      <c r="W30" s="6"/>
      <c r="X30" s="6"/>
      <c r="Y30" s="6"/>
      <c r="Z30" s="6"/>
      <c r="AB30" s="6" t="str">
        <f>IF(TITLE_NAME_OR_PR_CHANGE="",IF(TITLE_NAME_OR_PR="","",TITLE_NAME_OR_PR),TITLE_NAME_OR_PR_CHANGE)</f>
        <v/>
      </c>
      <c r="AC30" s="6"/>
      <c r="AD30" s="6"/>
      <c r="AE30" s="6"/>
      <c r="AF30" s="6"/>
      <c r="AG30" s="6"/>
      <c r="AH30" s="6"/>
      <c r="AI30" s="6"/>
      <c r="AJ30" s="6"/>
      <c r="AK30" s="6"/>
      <c r="AL30" s="6"/>
      <c r="AM30" s="6"/>
      <c r="AN30" s="6"/>
      <c r="AO30" s="6"/>
      <c r="AP30" s="6"/>
      <c r="AQ30" s="6"/>
      <c r="AR30" s="6"/>
    </row>
    <row r="31" spans="5:50" ht="18.75" hidden="1" customHeight="1" x14ac:dyDescent="0.15">
      <c r="S31" s="6" t="s">
        <v>1744</v>
      </c>
      <c r="T31" s="6"/>
      <c r="V31" s="6"/>
      <c r="W31" s="6"/>
      <c r="X31" s="6"/>
      <c r="Y31" s="6"/>
      <c r="Z31" s="6"/>
      <c r="AB31" s="6" t="str">
        <f>IF(TITLE_DATE_CHANGE_PERIOD="",IF(TITLE_DATE_PR="","",TITLE_DATE_PR),TITLE_DATE_CHANGE_PERIOD)</f>
        <v/>
      </c>
      <c r="AC31" s="6"/>
      <c r="AD31" s="6"/>
      <c r="AE31" s="6"/>
      <c r="AF31" s="6"/>
      <c r="AG31" s="6"/>
      <c r="AH31" s="6"/>
      <c r="AI31" s="6"/>
      <c r="AJ31" s="6"/>
      <c r="AK31" s="6"/>
      <c r="AL31" s="6"/>
      <c r="AM31" s="6"/>
      <c r="AN31" s="6"/>
      <c r="AO31" s="6"/>
      <c r="AP31" s="6"/>
      <c r="AQ31" s="6"/>
      <c r="AR31" s="6"/>
    </row>
    <row r="32" spans="5:50" ht="18.75" hidden="1" customHeight="1" x14ac:dyDescent="0.15">
      <c r="S32" s="6" t="s">
        <v>1745</v>
      </c>
      <c r="T32" s="6"/>
      <c r="V32" s="6"/>
      <c r="W32" s="6"/>
      <c r="X32" s="6"/>
      <c r="Y32" s="6"/>
      <c r="Z32" s="6"/>
      <c r="AB32" s="6" t="str">
        <f>IF(TITLE_NUMBER_PR_CHANGE="",IF(TITLE_NUMBER_PR="","",TITLE_NUMBER_PR),TITLE_NUMBER_PR_CHANGE)</f>
        <v/>
      </c>
      <c r="AC32" s="6"/>
      <c r="AD32" s="6"/>
      <c r="AE32" s="6"/>
      <c r="AF32" s="6"/>
      <c r="AG32" s="6"/>
      <c r="AH32" s="6"/>
      <c r="AI32" s="6"/>
      <c r="AJ32" s="6"/>
      <c r="AK32" s="6"/>
      <c r="AL32" s="6"/>
      <c r="AM32" s="6"/>
      <c r="AN32" s="6"/>
      <c r="AO32" s="6"/>
      <c r="AP32" s="6"/>
      <c r="AQ32" s="6"/>
      <c r="AR32" s="6"/>
    </row>
    <row r="33" spans="1:50" ht="18.75" hidden="1" customHeight="1" x14ac:dyDescent="0.15">
      <c r="S33" s="6" t="s">
        <v>26</v>
      </c>
      <c r="T33" s="6"/>
      <c r="V33" s="6"/>
      <c r="W33" s="6"/>
      <c r="X33" s="6"/>
      <c r="Y33" s="6"/>
      <c r="Z33" s="6"/>
      <c r="AB33" s="6" t="str">
        <f>IF(TITLE_IST_PUB_CHANGE="",IF(TITLE_IST_PUB="","",TITLE_IST_PUB),TITLE_IST_PUB_CHANGE)</f>
        <v/>
      </c>
      <c r="AC33" s="6"/>
      <c r="AD33" s="6"/>
      <c r="AE33" s="6"/>
      <c r="AF33" s="6"/>
      <c r="AG33" s="6"/>
      <c r="AH33" s="6"/>
      <c r="AI33" s="6"/>
      <c r="AJ33" s="6"/>
      <c r="AK33" s="6"/>
      <c r="AL33" s="6"/>
      <c r="AM33" s="6"/>
      <c r="AN33" s="6"/>
      <c r="AO33" s="6"/>
      <c r="AP33" s="6"/>
      <c r="AQ33" s="6"/>
      <c r="AR33" s="6"/>
    </row>
    <row r="34" spans="1:50" ht="14.25" hidden="1" customHeight="1" x14ac:dyDescent="0.15"/>
    <row r="35" spans="1:50" ht="18.75" hidden="1" customHeight="1" x14ac:dyDescent="0.15">
      <c r="S35" s="6" t="s">
        <v>1744</v>
      </c>
      <c r="T35" s="6"/>
      <c r="V35" s="6"/>
      <c r="W35" s="6"/>
      <c r="X35" s="6"/>
      <c r="Y35" s="6"/>
      <c r="Z35" s="6"/>
      <c r="AB35" s="6" t="str">
        <f>IF(TITLE_DATE_CHANGE_PERIOD="",IF(TITLE_DATE_PR="","",TITLE_DATE_PR),TITLE_DATE_CHANGE_PERIOD)</f>
        <v/>
      </c>
      <c r="AC35" s="6"/>
      <c r="AD35" s="6"/>
      <c r="AE35" s="6"/>
      <c r="AF35" s="6"/>
      <c r="AG35" s="6"/>
      <c r="AH35" s="6"/>
      <c r="AI35" s="6"/>
      <c r="AJ35" s="6"/>
      <c r="AK35" s="6"/>
      <c r="AL35" s="6"/>
      <c r="AM35" s="6"/>
      <c r="AN35" s="6"/>
      <c r="AO35" s="6"/>
      <c r="AP35" s="6"/>
      <c r="AQ35" s="6"/>
      <c r="AR35" s="6"/>
    </row>
    <row r="36" spans="1:50" ht="18" hidden="1" customHeight="1" x14ac:dyDescent="0.15">
      <c r="S36" s="6" t="s">
        <v>1745</v>
      </c>
      <c r="T36" s="6"/>
      <c r="V36" s="6"/>
      <c r="W36" s="6"/>
      <c r="X36" s="6"/>
      <c r="Y36" s="6"/>
      <c r="Z36" s="6"/>
      <c r="AB36" s="6" t="str">
        <f>IF(TITLE_NUMBER_PR_CHANGE="",IF(TITLE_NUMBER_PR="","",TITLE_NUMBER_PR),TITLE_NUMBER_PR_CHANGE)</f>
        <v/>
      </c>
      <c r="AC36" s="6"/>
      <c r="AD36" s="6"/>
      <c r="AE36" s="6"/>
      <c r="AF36" s="6"/>
      <c r="AG36" s="6"/>
      <c r="AH36" s="6"/>
      <c r="AI36" s="6"/>
      <c r="AJ36" s="6"/>
      <c r="AK36" s="6"/>
      <c r="AL36" s="6"/>
      <c r="AM36" s="6"/>
      <c r="AN36" s="6"/>
      <c r="AO36" s="6"/>
      <c r="AP36" s="6"/>
      <c r="AQ36" s="6"/>
      <c r="AR36" s="6"/>
    </row>
    <row r="37" spans="1:50" ht="0.75" customHeight="1" x14ac:dyDescent="0.15">
      <c r="AA37" t="s">
        <v>1748</v>
      </c>
      <c r="AS37" t="s">
        <v>1748</v>
      </c>
    </row>
    <row r="38" spans="1:50" ht="14.25" customHeight="1" x14ac:dyDescent="0.15">
      <c r="V38" s="6"/>
      <c r="W38" s="6"/>
      <c r="X38" s="6"/>
      <c r="Y38" s="6"/>
      <c r="Z38" s="6"/>
      <c r="AA38" s="6"/>
      <c r="AB38" s="6"/>
      <c r="AC38" s="6"/>
      <c r="AD38" s="6"/>
      <c r="AE38" s="6"/>
      <c r="AF38" s="6"/>
      <c r="AG38" s="6"/>
      <c r="AH38" s="6"/>
      <c r="AI38" s="6"/>
      <c r="AJ38" s="6"/>
      <c r="AK38" s="6"/>
      <c r="AL38" s="6"/>
      <c r="AM38" s="6"/>
      <c r="AN38" s="6"/>
      <c r="AO38" s="6"/>
      <c r="AP38" s="6"/>
      <c r="AQ38" s="6"/>
      <c r="AR38" s="6"/>
      <c r="AS38" s="6"/>
    </row>
    <row r="39" spans="1:50" ht="14.25" customHeight="1" x14ac:dyDescent="0.15">
      <c r="S39" s="6" t="s">
        <v>593</v>
      </c>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t="s">
        <v>594</v>
      </c>
    </row>
    <row r="40" spans="1:50" ht="14.25" customHeight="1" x14ac:dyDescent="0.15">
      <c r="S40" s="6" t="s">
        <v>75</v>
      </c>
      <c r="T40" s="6" t="s">
        <v>1749</v>
      </c>
      <c r="V40" s="6"/>
      <c r="W40" s="6"/>
      <c r="X40" s="6"/>
      <c r="Y40" s="6"/>
      <c r="Z40" s="6"/>
      <c r="AA40" s="6" t="s">
        <v>1751</v>
      </c>
      <c r="AB40" s="6" t="s">
        <v>1806</v>
      </c>
      <c r="AC40" s="6"/>
      <c r="AD40" s="6"/>
      <c r="AE40" s="6"/>
      <c r="AF40" s="6" t="s">
        <v>1807</v>
      </c>
      <c r="AG40" s="6"/>
      <c r="AH40" s="6"/>
      <c r="AI40" s="6"/>
      <c r="AJ40" s="6" t="s">
        <v>1808</v>
      </c>
      <c r="AK40" s="6"/>
      <c r="AL40" s="6"/>
      <c r="AM40" s="6"/>
      <c r="AN40" s="6" t="s">
        <v>1750</v>
      </c>
      <c r="AO40" s="6"/>
      <c r="AP40" s="6"/>
      <c r="AQ40" s="6"/>
      <c r="AR40" s="6"/>
      <c r="AS40" s="6" t="s">
        <v>1751</v>
      </c>
      <c r="AT40" s="6" t="s">
        <v>1753</v>
      </c>
      <c r="AU40" s="6"/>
    </row>
    <row r="41" spans="1:50" ht="33.75" customHeight="1" x14ac:dyDescent="0.15">
      <c r="S41" s="6"/>
      <c r="T41" s="6"/>
      <c r="V41" s="6" t="s">
        <v>1809</v>
      </c>
      <c r="W41" s="6"/>
      <c r="X41" s="6" t="s">
        <v>1757</v>
      </c>
      <c r="Y41" s="6"/>
      <c r="Z41" s="6"/>
      <c r="AA41" s="6"/>
      <c r="AB41" s="6"/>
      <c r="AC41" s="6"/>
      <c r="AD41" s="6"/>
      <c r="AE41" s="6"/>
      <c r="AF41" s="6"/>
      <c r="AG41" s="6"/>
      <c r="AH41" s="6"/>
      <c r="AI41" s="6"/>
      <c r="AJ41" s="6"/>
      <c r="AK41" s="6"/>
      <c r="AL41" s="6"/>
      <c r="AM41" s="6"/>
      <c r="AN41" s="6" t="s">
        <v>1809</v>
      </c>
      <c r="AO41" s="6"/>
      <c r="AP41" s="6" t="s">
        <v>1757</v>
      </c>
      <c r="AQ41" s="6"/>
      <c r="AR41" s="6"/>
      <c r="AS41" s="6"/>
      <c r="AT41" s="6"/>
      <c r="AU41" s="6"/>
    </row>
    <row r="42" spans="1:50" ht="14.25" customHeight="1" x14ac:dyDescent="0.15">
      <c r="S42" s="6"/>
      <c r="T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row>
    <row r="43" spans="1:50" ht="14.25" customHeight="1" x14ac:dyDescent="0.15">
      <c r="B43" t="s">
        <v>443</v>
      </c>
      <c r="C43" t="s">
        <v>444</v>
      </c>
      <c r="D43" t="s">
        <v>445</v>
      </c>
      <c r="E43" t="s">
        <v>1758</v>
      </c>
      <c r="F43" t="s">
        <v>1759</v>
      </c>
      <c r="G43" t="s">
        <v>1760</v>
      </c>
      <c r="H43" t="s">
        <v>1761</v>
      </c>
      <c r="I43" t="s">
        <v>1762</v>
      </c>
      <c r="J43" t="s">
        <v>1763</v>
      </c>
      <c r="K43" t="s">
        <v>1764</v>
      </c>
      <c r="L43" t="s">
        <v>1739</v>
      </c>
      <c r="S43" s="6"/>
      <c r="T43" s="6"/>
      <c r="V43" t="s">
        <v>1810</v>
      </c>
      <c r="W43" t="s">
        <v>1811</v>
      </c>
      <c r="X43" t="s">
        <v>1767</v>
      </c>
      <c r="Y43" s="6" t="s">
        <v>1768</v>
      </c>
      <c r="Z43" s="6"/>
      <c r="AA43" s="6"/>
      <c r="AB43" s="6"/>
      <c r="AC43" s="6"/>
      <c r="AD43" s="6"/>
      <c r="AE43" s="6"/>
      <c r="AF43" s="6"/>
      <c r="AG43" s="6"/>
      <c r="AH43" s="6"/>
      <c r="AI43" s="6"/>
      <c r="AJ43" s="6"/>
      <c r="AK43" s="6"/>
      <c r="AL43" s="6"/>
      <c r="AM43" s="6"/>
      <c r="AN43" t="s">
        <v>1810</v>
      </c>
      <c r="AO43" t="s">
        <v>1811</v>
      </c>
      <c r="AP43" t="s">
        <v>1767</v>
      </c>
      <c r="AQ43" s="6" t="s">
        <v>1768</v>
      </c>
      <c r="AR43" s="6"/>
      <c r="AS43" s="6"/>
      <c r="AT43" s="6"/>
      <c r="AU43" s="6"/>
    </row>
    <row r="44" spans="1:50" ht="11.25" hidden="1" customHeight="1" x14ac:dyDescent="0.15">
      <c r="R44">
        <v>1</v>
      </c>
      <c r="S44" t="s">
        <v>165</v>
      </c>
      <c r="T44" t="s">
        <v>89</v>
      </c>
      <c r="U44" t="str">
        <f ca="1">OFFSET(U44,0,-1)</f>
        <v>2</v>
      </c>
      <c r="V44">
        <f ca="1">OFFSET(V44,0,-1)+1</f>
        <v>3</v>
      </c>
      <c r="W44">
        <f ca="1">OFFSET(W44,0,-1)+1</f>
        <v>4</v>
      </c>
      <c r="X44">
        <f ca="1">OFFSET(X44,0,-1)+1</f>
        <v>5</v>
      </c>
      <c r="Y44" s="6">
        <f ca="1">OFFSET(Y44,0,-1)+1</f>
        <v>6</v>
      </c>
      <c r="Z44" s="6"/>
      <c r="AA44">
        <f ca="1">OFFSET(AA44,0,-2)+1</f>
        <v>7</v>
      </c>
      <c r="AB44">
        <f ca="1">OFFSET(AB44,0,-1)+1</f>
        <v>8</v>
      </c>
      <c r="AN44">
        <f ca="1">OFFSET(AN44,0,-1)+1</f>
        <v>1</v>
      </c>
      <c r="AO44">
        <f ca="1">OFFSET(AO44,0,-1)+1</f>
        <v>2</v>
      </c>
      <c r="AP44">
        <f ca="1">OFFSET(AP44,0,-1)+1</f>
        <v>3</v>
      </c>
      <c r="AQ44" s="6">
        <f ca="1">OFFSET(AQ44,0,-1)+1</f>
        <v>4</v>
      </c>
      <c r="AR44" s="6"/>
      <c r="AS44">
        <f ca="1">OFFSET(AS44,0,-2)+1</f>
        <v>5</v>
      </c>
      <c r="AT44">
        <f ca="1">OFFSET(AT44,0,-1)</f>
        <v>5</v>
      </c>
      <c r="AU44">
        <f ca="1">OFFSET(AU44,0,-1)+1</f>
        <v>6</v>
      </c>
    </row>
    <row r="45" spans="1:50" ht="21" customHeight="1" x14ac:dyDescent="0.15">
      <c r="A45" t="s">
        <v>505</v>
      </c>
      <c r="E45" s="6">
        <v>1</v>
      </c>
      <c r="S45">
        <f>INDEX(PT_DIFFERENTIATION_NUM_NTAR,MATCH(A45,PT_DIFFERENTIATION_NTAR_ID,0))</f>
        <v>0</v>
      </c>
      <c r="T45" t="s">
        <v>431</v>
      </c>
      <c r="V45" s="6"/>
      <c r="W45" s="6"/>
      <c r="X45" s="6"/>
      <c r="Y45" s="6"/>
      <c r="Z45" s="6"/>
      <c r="AA45" s="6"/>
      <c r="AB45" s="6" t="str">
        <f>INDEX(PT_DIFFERENTIATION_NTAR,MATCH(A45,PT_DIFFERENTIATION_NTAR_ID,0))</f>
        <v/>
      </c>
      <c r="AC45" s="6"/>
      <c r="AD45" s="6"/>
      <c r="AE45" s="6"/>
      <c r="AF45" s="6"/>
      <c r="AG45" s="6"/>
      <c r="AH45" s="6"/>
      <c r="AI45" s="6"/>
      <c r="AJ45" s="6"/>
      <c r="AK45" s="6"/>
      <c r="AL45" s="6"/>
      <c r="AM45" s="6"/>
      <c r="AN45" s="6"/>
      <c r="AO45" s="6"/>
      <c r="AP45" s="6"/>
      <c r="AQ45" s="6"/>
      <c r="AR45" s="6"/>
      <c r="AS45" s="6"/>
      <c r="AT45" s="6"/>
      <c r="AU45" t="s">
        <v>1720</v>
      </c>
      <c r="AX45" t="str">
        <f t="shared" ref="AX45:AX51" si="2">IF(T45="","",T45)</f>
        <v>Наименование тарифа</v>
      </c>
    </row>
    <row r="46" spans="1:50" ht="21" customHeight="1" x14ac:dyDescent="0.15">
      <c r="A46" t="s">
        <v>505</v>
      </c>
      <c r="B46" t="s">
        <v>506</v>
      </c>
      <c r="E46" s="6"/>
      <c r="F46" s="6">
        <v>1</v>
      </c>
      <c r="S46" t="str">
        <f>INDEX(PT_DIFFERENTIATION_NUM_TER,MATCH(B46,PT_DIFFERENTIATION_TER_ID,0))</f>
        <v>.</v>
      </c>
      <c r="T46" t="s">
        <v>1721</v>
      </c>
      <c r="V46" s="6"/>
      <c r="W46" s="6"/>
      <c r="X46" s="6"/>
      <c r="Y46" s="6"/>
      <c r="Z46" s="6"/>
      <c r="AA46" s="6"/>
      <c r="AB46" s="6" t="str">
        <f>INDEX(PT_DIFFERENTIATION_TER,MATCH(B46,PT_DIFFERENTIATION_TER_ID,0))</f>
        <v/>
      </c>
      <c r="AC46" s="6"/>
      <c r="AD46" s="6"/>
      <c r="AE46" s="6"/>
      <c r="AF46" s="6"/>
      <c r="AG46" s="6"/>
      <c r="AH46" s="6"/>
      <c r="AI46" s="6"/>
      <c r="AJ46" s="6"/>
      <c r="AK46" s="6"/>
      <c r="AL46" s="6"/>
      <c r="AM46" s="6"/>
      <c r="AN46" s="6"/>
      <c r="AO46" s="6"/>
      <c r="AP46" s="6"/>
      <c r="AQ46" s="6"/>
      <c r="AR46" s="6"/>
      <c r="AS46" s="6"/>
      <c r="AT46" s="6"/>
      <c r="AU46" t="s">
        <v>1722</v>
      </c>
      <c r="AX46" t="str">
        <f t="shared" si="2"/>
        <v>Территория действия тарифа</v>
      </c>
    </row>
    <row r="47" spans="1:50" ht="23.25" customHeight="1" x14ac:dyDescent="0.15">
      <c r="A47" t="s">
        <v>505</v>
      </c>
      <c r="B47" t="s">
        <v>506</v>
      </c>
      <c r="C47" t="s">
        <v>507</v>
      </c>
      <c r="E47" s="6"/>
      <c r="F47" s="6"/>
      <c r="G47" s="6">
        <v>1</v>
      </c>
      <c r="S47" t="str">
        <f>INDEX(PT_DIFFERENTIATION_NUM_CS,MATCH(C47,PT_DIFFERENTIATION_CS_ID,0))</f>
        <v>..</v>
      </c>
      <c r="T47" t="s">
        <v>1723</v>
      </c>
      <c r="V47" s="6"/>
      <c r="W47" s="6"/>
      <c r="X47" s="6"/>
      <c r="Y47" s="6"/>
      <c r="Z47" s="6"/>
      <c r="AA47" s="6"/>
      <c r="AB47" s="6" t="str">
        <f>INDEX(PT_DIFFERENTIATION_CS,MATCH(C47,PT_DIFFERENTIATION_CS_ID,0))</f>
        <v/>
      </c>
      <c r="AC47" s="6"/>
      <c r="AD47" s="6"/>
      <c r="AE47" s="6"/>
      <c r="AF47" s="6"/>
      <c r="AG47" s="6"/>
      <c r="AH47" s="6"/>
      <c r="AI47" s="6"/>
      <c r="AJ47" s="6"/>
      <c r="AK47" s="6"/>
      <c r="AL47" s="6"/>
      <c r="AM47" s="6"/>
      <c r="AN47" s="6"/>
      <c r="AO47" s="6"/>
      <c r="AP47" s="6"/>
      <c r="AQ47" s="6"/>
      <c r="AR47" s="6"/>
      <c r="AS47" s="6"/>
      <c r="AT47" s="6"/>
      <c r="AU47" t="s">
        <v>1724</v>
      </c>
      <c r="AX47" t="str">
        <f t="shared" si="2"/>
        <v xml:space="preserve">Наименование системы теплоснабжения </v>
      </c>
    </row>
    <row r="48" spans="1:50" ht="21" customHeight="1" x14ac:dyDescent="0.15">
      <c r="A48" t="s">
        <v>505</v>
      </c>
      <c r="B48" t="s">
        <v>506</v>
      </c>
      <c r="C48" t="s">
        <v>507</v>
      </c>
      <c r="D48" t="s">
        <v>508</v>
      </c>
      <c r="E48" s="6"/>
      <c r="F48" s="6"/>
      <c r="G48" s="6"/>
      <c r="H48" s="6">
        <v>1</v>
      </c>
      <c r="S48" t="str">
        <f>INDEX(PT_DIFFERENTIATION_NUM_IST_TE,MATCH(D48,PT_DIFFERENTIATION_IST_TE_ID,0))</f>
        <v>...</v>
      </c>
      <c r="T48" t="s">
        <v>1725</v>
      </c>
      <c r="V48" s="6"/>
      <c r="W48" s="6"/>
      <c r="X48" s="6"/>
      <c r="Y48" s="6"/>
      <c r="Z48" s="6"/>
      <c r="AA48" s="6"/>
      <c r="AB48" s="6" t="str">
        <f>INDEX(PT_DIFFERENTIATION_IST_TE,MATCH(D48,PT_DIFFERENTIATION_IST_TE_ID,0))</f>
        <v/>
      </c>
      <c r="AC48" s="6"/>
      <c r="AD48" s="6"/>
      <c r="AE48" s="6"/>
      <c r="AF48" s="6"/>
      <c r="AG48" s="6"/>
      <c r="AH48" s="6"/>
      <c r="AI48" s="6"/>
      <c r="AJ48" s="6"/>
      <c r="AK48" s="6"/>
      <c r="AL48" s="6"/>
      <c r="AM48" s="6"/>
      <c r="AN48" s="6"/>
      <c r="AO48" s="6"/>
      <c r="AP48" s="6"/>
      <c r="AQ48" s="6"/>
      <c r="AR48" s="6"/>
      <c r="AS48" s="6"/>
      <c r="AT48" s="6"/>
      <c r="AU48" t="s">
        <v>1726</v>
      </c>
      <c r="AX48" t="str">
        <f t="shared" si="2"/>
        <v xml:space="preserve">Источник тепловой энергии  </v>
      </c>
    </row>
    <row r="49" spans="1:50" ht="0" hidden="1" customHeight="1" x14ac:dyDescent="0.15">
      <c r="A49" t="s">
        <v>505</v>
      </c>
      <c r="B49" t="s">
        <v>506</v>
      </c>
      <c r="C49" t="s">
        <v>507</v>
      </c>
      <c r="D49" t="s">
        <v>508</v>
      </c>
      <c r="E49" s="6"/>
      <c r="F49" s="6"/>
      <c r="G49" s="6"/>
      <c r="H49" s="6"/>
      <c r="I49" s="6" t="str">
        <f>S48&amp;".1"</f>
        <v>....1</v>
      </c>
      <c r="L49" t="s">
        <v>1727</v>
      </c>
      <c r="P49" s="6">
        <v>1</v>
      </c>
      <c r="V49" s="6"/>
      <c r="W49" s="6"/>
      <c r="X49" s="6"/>
      <c r="Y49" s="6"/>
      <c r="Z49" s="6"/>
      <c r="AA49" s="6"/>
      <c r="AB49" s="6"/>
      <c r="AC49" s="6"/>
      <c r="AD49" s="6"/>
      <c r="AE49" s="6"/>
      <c r="AF49" s="6"/>
      <c r="AG49" s="6"/>
      <c r="AH49" s="6"/>
      <c r="AI49" s="6"/>
      <c r="AJ49" s="6"/>
      <c r="AK49" s="6"/>
      <c r="AL49" s="6"/>
      <c r="AM49" s="6"/>
      <c r="AN49" s="6"/>
      <c r="AO49" s="6"/>
      <c r="AP49" s="6"/>
      <c r="AQ49" s="6"/>
      <c r="AR49" s="6"/>
      <c r="AS49" s="6"/>
      <c r="AT49" s="6"/>
      <c r="AX49" t="str">
        <f t="shared" si="2"/>
        <v/>
      </c>
    </row>
    <row r="50" spans="1:50" ht="0" hidden="1" customHeight="1" x14ac:dyDescent="0.15">
      <c r="A50" t="s">
        <v>505</v>
      </c>
      <c r="B50" t="s">
        <v>506</v>
      </c>
      <c r="C50" t="s">
        <v>507</v>
      </c>
      <c r="D50" t="s">
        <v>508</v>
      </c>
      <c r="E50" s="6"/>
      <c r="F50" s="6"/>
      <c r="G50" s="6"/>
      <c r="H50" s="6"/>
      <c r="I50" s="6"/>
      <c r="J50" s="6" t="str">
        <f>S48&amp;".1"</f>
        <v>....1</v>
      </c>
      <c r="P50" s="6"/>
      <c r="Q50" s="6">
        <v>1</v>
      </c>
      <c r="V50" s="6"/>
      <c r="W50" s="6"/>
      <c r="X50" s="6"/>
      <c r="Y50" s="6"/>
      <c r="Z50" s="6"/>
      <c r="AA50" s="6"/>
      <c r="AB50" s="6"/>
      <c r="AC50" s="6"/>
      <c r="AD50" s="6"/>
      <c r="AE50" s="6"/>
      <c r="AF50" s="6"/>
      <c r="AG50" s="6"/>
      <c r="AH50" s="6"/>
      <c r="AI50" s="6"/>
      <c r="AJ50" s="6"/>
      <c r="AK50" s="6"/>
      <c r="AL50" s="6"/>
      <c r="AM50" s="6"/>
      <c r="AN50" s="6"/>
      <c r="AO50" s="6"/>
      <c r="AP50" s="6"/>
      <c r="AQ50" s="6"/>
      <c r="AR50" s="6"/>
      <c r="AS50" s="6"/>
      <c r="AT50" s="6"/>
      <c r="AX50" t="str">
        <f t="shared" si="2"/>
        <v/>
      </c>
    </row>
    <row r="51" spans="1:50" ht="21" customHeight="1" x14ac:dyDescent="0.15">
      <c r="A51" t="s">
        <v>505</v>
      </c>
      <c r="B51" t="s">
        <v>506</v>
      </c>
      <c r="C51" t="s">
        <v>507</v>
      </c>
      <c r="D51" t="s">
        <v>508</v>
      </c>
      <c r="E51" s="6"/>
      <c r="F51" s="6"/>
      <c r="G51" s="6"/>
      <c r="H51" s="6"/>
      <c r="I51" s="6"/>
      <c r="J51" s="6"/>
      <c r="K51" s="6" t="str">
        <f>S48&amp;".1"</f>
        <v>....1</v>
      </c>
      <c r="P51" s="6"/>
      <c r="Q51" s="6"/>
      <c r="R51">
        <v>1</v>
      </c>
      <c r="S51" s="6" t="str">
        <f>$K51</f>
        <v>....1</v>
      </c>
      <c r="T51" s="6"/>
      <c r="Y51" t="s">
        <v>50</v>
      </c>
      <c r="AA51" t="s">
        <v>50</v>
      </c>
      <c r="AB51" s="6" t="s">
        <v>43</v>
      </c>
      <c r="AC51" s="6"/>
      <c r="AD51" s="6">
        <v>1</v>
      </c>
      <c r="AE51" s="6" t="s">
        <v>4</v>
      </c>
      <c r="AF51" s="6" t="s">
        <v>43</v>
      </c>
      <c r="AG51" s="6"/>
      <c r="AH51" s="6">
        <v>1</v>
      </c>
      <c r="AI51" s="6" t="s">
        <v>4</v>
      </c>
      <c r="AJ51" s="6" t="s">
        <v>43</v>
      </c>
      <c r="AL51">
        <v>1</v>
      </c>
      <c r="AQ51" t="s">
        <v>50</v>
      </c>
      <c r="AS51" t="s">
        <v>50</v>
      </c>
      <c r="AU51" s="6" t="s">
        <v>1797</v>
      </c>
      <c r="AV51" t="e">
        <f ca="1">STRCHECKDATE(V54:AT54)</f>
        <v>#NAME?</v>
      </c>
      <c r="AX51" t="str">
        <f t="shared" si="2"/>
        <v/>
      </c>
    </row>
    <row r="52" spans="1:50" ht="11.25" customHeight="1" x14ac:dyDescent="0.15">
      <c r="A52" t="s">
        <v>505</v>
      </c>
      <c r="E52" s="6"/>
      <c r="F52" s="6"/>
      <c r="G52" s="6"/>
      <c r="H52" s="6"/>
      <c r="I52" s="6"/>
      <c r="J52" s="6"/>
      <c r="K52" s="6"/>
      <c r="P52" s="6"/>
      <c r="Q52" s="6"/>
      <c r="S52" s="6"/>
      <c r="T52" s="6"/>
      <c r="AB52" s="6"/>
      <c r="AC52" s="6"/>
      <c r="AD52" s="6"/>
      <c r="AE52" s="6"/>
      <c r="AF52" s="6"/>
      <c r="AG52" s="6"/>
      <c r="AH52" s="6"/>
      <c r="AI52" s="6"/>
      <c r="AJ52" s="6"/>
      <c r="AM52" t="s">
        <v>1798</v>
      </c>
      <c r="AU52" s="6"/>
    </row>
    <row r="53" spans="1:50" ht="11.25" customHeight="1" x14ac:dyDescent="0.15">
      <c r="A53" t="s">
        <v>505</v>
      </c>
      <c r="E53" s="6"/>
      <c r="F53" s="6"/>
      <c r="G53" s="6"/>
      <c r="H53" s="6"/>
      <c r="I53" s="6"/>
      <c r="J53" s="6"/>
      <c r="K53" s="6"/>
      <c r="P53" s="6"/>
      <c r="Q53" s="6"/>
      <c r="S53" s="6"/>
      <c r="T53" s="6"/>
      <c r="AB53" s="6"/>
      <c r="AC53" s="6"/>
      <c r="AD53" s="6"/>
      <c r="AE53" s="6"/>
      <c r="AF53" s="6"/>
      <c r="AI53" t="s">
        <v>1799</v>
      </c>
      <c r="AU53" s="6"/>
    </row>
    <row r="54" spans="1:50" ht="11.25" customHeight="1" x14ac:dyDescent="0.15">
      <c r="A54" t="s">
        <v>505</v>
      </c>
      <c r="B54" t="s">
        <v>506</v>
      </c>
      <c r="C54" t="s">
        <v>507</v>
      </c>
      <c r="D54" t="s">
        <v>508</v>
      </c>
      <c r="E54" s="6"/>
      <c r="F54" s="6"/>
      <c r="G54" s="6"/>
      <c r="H54" s="6"/>
      <c r="I54" s="6"/>
      <c r="J54" s="6"/>
      <c r="K54" s="6"/>
      <c r="P54" s="6"/>
      <c r="Q54" s="6"/>
      <c r="S54" s="6"/>
      <c r="T54" s="6"/>
      <c r="W54" t="str">
        <f>X51&amp;"-"&amp;Z51</f>
        <v>-</v>
      </c>
      <c r="AB54" s="6"/>
      <c r="AE54" t="s">
        <v>1800</v>
      </c>
      <c r="AO54" t="str">
        <f>AP51&amp;"-"&amp;AR51</f>
        <v>-</v>
      </c>
      <c r="AU54" s="6"/>
      <c r="AX54" t="str">
        <f t="shared" ref="AX54:AX62" si="3">IF(T54="","",T54)</f>
        <v/>
      </c>
    </row>
    <row r="55" spans="1:50" ht="11.25" customHeight="1" x14ac:dyDescent="0.15">
      <c r="A55" t="s">
        <v>505</v>
      </c>
      <c r="B55" t="s">
        <v>506</v>
      </c>
      <c r="C55" t="s">
        <v>507</v>
      </c>
      <c r="D55" t="s">
        <v>508</v>
      </c>
      <c r="E55" s="6"/>
      <c r="F55" s="6"/>
      <c r="G55" s="6"/>
      <c r="H55" s="6"/>
      <c r="I55" s="6"/>
      <c r="J55" s="6"/>
      <c r="P55" s="6"/>
      <c r="Q55" s="6"/>
      <c r="T55" t="s">
        <v>1801</v>
      </c>
      <c r="AU55" s="6"/>
      <c r="AX55" t="str">
        <f t="shared" si="3"/>
        <v>Добавить строку</v>
      </c>
    </row>
    <row r="56" spans="1:50" ht="0" hidden="1" customHeight="1" x14ac:dyDescent="0.15">
      <c r="A56" t="s">
        <v>505</v>
      </c>
      <c r="B56" t="s">
        <v>506</v>
      </c>
      <c r="C56" t="s">
        <v>507</v>
      </c>
      <c r="D56" t="s">
        <v>508</v>
      </c>
      <c r="E56" s="6"/>
      <c r="F56" s="6"/>
      <c r="G56" s="6"/>
      <c r="H56" s="6"/>
      <c r="I56" s="6"/>
      <c r="P56" s="6"/>
      <c r="T56" t="s">
        <v>1736</v>
      </c>
      <c r="AX56" t="str">
        <f t="shared" si="3"/>
        <v>Добавить группу потребителей</v>
      </c>
    </row>
    <row r="57" spans="1:50" ht="0" hidden="1" customHeight="1" x14ac:dyDescent="0.15">
      <c r="A57" t="s">
        <v>505</v>
      </c>
      <c r="B57" t="s">
        <v>506</v>
      </c>
      <c r="C57" t="s">
        <v>507</v>
      </c>
      <c r="D57" t="s">
        <v>508</v>
      </c>
      <c r="E57" s="6"/>
      <c r="F57" s="6"/>
      <c r="G57" s="6"/>
      <c r="H57" s="6"/>
      <c r="AX57" t="str">
        <f t="shared" si="3"/>
        <v/>
      </c>
    </row>
    <row r="58" spans="1:50" ht="0" hidden="1" customHeight="1" x14ac:dyDescent="0.15">
      <c r="A58" t="s">
        <v>505</v>
      </c>
      <c r="B58" t="s">
        <v>506</v>
      </c>
      <c r="C58" t="s">
        <v>507</v>
      </c>
      <c r="E58" s="6"/>
      <c r="F58" s="6"/>
      <c r="G58" s="6"/>
      <c r="T58" t="s">
        <v>1696</v>
      </c>
      <c r="AX58" t="str">
        <f t="shared" si="3"/>
        <v>Добавить источник для дифференциации</v>
      </c>
    </row>
    <row r="59" spans="1:50" ht="0" hidden="1" customHeight="1" x14ac:dyDescent="0.15">
      <c r="A59" t="s">
        <v>505</v>
      </c>
      <c r="B59" t="s">
        <v>506</v>
      </c>
      <c r="E59" s="6"/>
      <c r="F59" s="6"/>
      <c r="T59" t="s">
        <v>1697</v>
      </c>
      <c r="AX59" t="str">
        <f t="shared" si="3"/>
        <v>Добавить централизованную систему для дифференциации</v>
      </c>
    </row>
    <row r="60" spans="1:50" ht="0" hidden="1" customHeight="1" x14ac:dyDescent="0.15">
      <c r="A60" t="s">
        <v>505</v>
      </c>
      <c r="E60" s="6"/>
      <c r="T60" t="s">
        <v>1698</v>
      </c>
      <c r="AX60" t="str">
        <f t="shared" si="3"/>
        <v>Добавить территорию для дифференциации</v>
      </c>
    </row>
    <row r="61" spans="1:50" ht="0" hidden="1" customHeight="1" x14ac:dyDescent="0.15">
      <c r="A61" t="s">
        <v>505</v>
      </c>
      <c r="E61" s="6"/>
      <c r="T61" t="s">
        <v>1698</v>
      </c>
      <c r="AX61" t="str">
        <f t="shared" si="3"/>
        <v>Добавить территорию для дифференциации</v>
      </c>
    </row>
    <row r="62" spans="1:50" ht="0" hidden="1" customHeight="1" x14ac:dyDescent="0.15">
      <c r="T62" t="s">
        <v>1699</v>
      </c>
      <c r="AX62" t="str">
        <f t="shared" si="3"/>
        <v>Добавить наименование тарифа</v>
      </c>
    </row>
    <row r="63" spans="1:50" ht="11.25" hidden="1" customHeight="1" x14ac:dyDescent="0.15"/>
    <row r="64" spans="1:50" ht="18.75" hidden="1" customHeight="1" x14ac:dyDescent="0.15">
      <c r="S64" t="s">
        <v>1769</v>
      </c>
      <c r="T64" s="6" t="s">
        <v>1812</v>
      </c>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row>
    <row r="65" spans="20:47" ht="19.5" hidden="1" customHeight="1" x14ac:dyDescent="0.15">
      <c r="T65" s="6" t="s">
        <v>1795</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row>
    <row r="66" spans="20:47" ht="14.25" hidden="1" customHeight="1" x14ac:dyDescent="0.15"/>
    <row r="67" spans="20:47" ht="18.75" hidden="1" customHeight="1" x14ac:dyDescent="0.15">
      <c r="T67" s="6" t="s">
        <v>1813</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row>
    <row r="68" spans="20:47" ht="15.75" hidden="1" customHeight="1" x14ac:dyDescent="0.15">
      <c r="T68" s="6" t="s">
        <v>1795</v>
      </c>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row>
  </sheetData>
  <sheetProtection formatColumns="0" formatRows="0" insertRows="0" deleteColumns="0" deleteRows="0" sort="0" autoFilter="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36"/>
  <sheetViews>
    <sheetView showGridLines="0" topLeftCell="I4"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8" width="12.28515625" hidden="1" customWidth="1"/>
    <col min="9" max="11" width="3.7109375" customWidth="1"/>
    <col min="12" max="12" width="12.7109375" customWidth="1"/>
    <col min="13" max="13" width="32" customWidth="1"/>
    <col min="14" max="14" width="1.7109375" customWidth="1"/>
    <col min="15" max="18" width="24.7109375" customWidth="1"/>
    <col min="19" max="19" width="11.7109375" customWidth="1"/>
    <col min="20" max="20" width="3.7109375" customWidth="1"/>
    <col min="21" max="21" width="11.7109375" customWidth="1"/>
    <col min="22" max="22" width="8.5703125" customWidth="1"/>
    <col min="23" max="23" width="4.7109375" customWidth="1"/>
    <col min="24" max="24" width="115.7109375" customWidth="1"/>
    <col min="27" max="27" width="11.140625" customWidth="1"/>
  </cols>
  <sheetData>
    <row r="1" spans="12:24" ht="14.25" hidden="1" customHeight="1" x14ac:dyDescent="0.15"/>
    <row r="2" spans="12:24" ht="14.25" hidden="1" customHeight="1" x14ac:dyDescent="0.15"/>
    <row r="3" spans="12:24" ht="14.25" hidden="1" customHeight="1" x14ac:dyDescent="0.15"/>
    <row r="5" spans="12:24" ht="64.5" customHeight="1" x14ac:dyDescent="0.15">
      <c r="L5" s="6" t="s">
        <v>715</v>
      </c>
      <c r="M5" s="6"/>
      <c r="N5" s="6"/>
      <c r="O5" s="6"/>
      <c r="P5" s="6"/>
      <c r="Q5" s="6"/>
      <c r="R5" s="6"/>
      <c r="S5" s="6"/>
      <c r="T5" s="6"/>
      <c r="U5" s="6"/>
    </row>
    <row r="6" spans="12:24" ht="14.25" customHeight="1" x14ac:dyDescent="0.15">
      <c r="L6" s="6" t="str">
        <f>IF(org=0,"Не определено",org)</f>
        <v>КГУП "Примтеплоэнерго"</v>
      </c>
      <c r="M6" s="6"/>
      <c r="N6" s="6"/>
      <c r="O6" s="6"/>
      <c r="P6" s="6"/>
      <c r="Q6" s="6"/>
      <c r="R6" s="6"/>
      <c r="S6" s="6"/>
      <c r="T6" s="6"/>
      <c r="U6" s="6"/>
    </row>
    <row r="8" spans="12:24" ht="45" customHeight="1" x14ac:dyDescent="0.15">
      <c r="M8" t="s">
        <v>25</v>
      </c>
      <c r="O8" s="6" t="str">
        <f>IF(TITLE_NAME_OR_PR_CHANGE="",IF(TITLE_NAME_OR_PR="","",TITLE_NAME_OR_PR),TITLE_NAME_OR_PR_CHANGE)</f>
        <v/>
      </c>
      <c r="P8" s="6"/>
      <c r="Q8" s="6"/>
      <c r="R8" s="6"/>
      <c r="S8" s="6"/>
      <c r="T8" s="6"/>
      <c r="U8" s="6"/>
    </row>
    <row r="9" spans="12:24" ht="22.5" customHeight="1" x14ac:dyDescent="0.15">
      <c r="M9" t="s">
        <v>1744</v>
      </c>
      <c r="O9" s="6" t="str">
        <f>IF(TITLE_DATE_CHANGE_PERIOD="",IF(TITLE_DATE_PR="","",TITLE_DATE_PR),TITLE_DATE_CHANGE_PERIOD)</f>
        <v/>
      </c>
      <c r="P9" s="6"/>
      <c r="Q9" s="6"/>
      <c r="R9" s="6"/>
      <c r="S9" s="6"/>
      <c r="T9" s="6"/>
      <c r="U9" s="6"/>
    </row>
    <row r="10" spans="12:24" ht="22.5" customHeight="1" x14ac:dyDescent="0.15">
      <c r="M10" t="s">
        <v>1745</v>
      </c>
      <c r="O10" s="6" t="str">
        <f>IF(TITLE_NUMBER_PR_CHANGE="",IF(TITLE_NUMBER_PR="","",TITLE_NUMBER_PR),TITLE_NUMBER_PR_CHANGE)</f>
        <v/>
      </c>
      <c r="P10" s="6"/>
      <c r="Q10" s="6"/>
      <c r="R10" s="6"/>
      <c r="S10" s="6"/>
      <c r="T10" s="6"/>
      <c r="U10" s="6"/>
    </row>
    <row r="11" spans="12:24" ht="22.5" customHeight="1" x14ac:dyDescent="0.15">
      <c r="M11" t="s">
        <v>26</v>
      </c>
      <c r="O11" s="6" t="str">
        <f>IF(TITLE_IST_PUB_CHANGE="",IF(TITLE_IST_PUB="","",TITLE_IST_PUB),TITLE_IST_PUB_CHANGE)</f>
        <v/>
      </c>
      <c r="P11" s="6"/>
      <c r="Q11" s="6"/>
      <c r="R11" s="6"/>
      <c r="S11" s="6"/>
      <c r="T11" s="6"/>
      <c r="U11" s="6"/>
    </row>
    <row r="12" spans="12:24" ht="11.25" hidden="1" customHeight="1" x14ac:dyDescent="0.15">
      <c r="L12" s="6"/>
      <c r="M12" s="6"/>
      <c r="V12" t="s">
        <v>1748</v>
      </c>
    </row>
    <row r="13" spans="12:24" ht="14.25" customHeight="1" x14ac:dyDescent="0.15">
      <c r="O13" s="6"/>
      <c r="P13" s="6"/>
      <c r="Q13" s="6"/>
      <c r="R13" s="6"/>
      <c r="S13" s="6"/>
      <c r="T13" s="6"/>
      <c r="U13" s="6"/>
      <c r="V13" s="6"/>
    </row>
    <row r="14" spans="12:24" ht="14.25" customHeight="1" x14ac:dyDescent="0.15">
      <c r="L14" s="6" t="s">
        <v>593</v>
      </c>
      <c r="M14" s="6"/>
      <c r="N14" s="6"/>
      <c r="O14" s="6"/>
      <c r="P14" s="6"/>
      <c r="Q14" s="6"/>
      <c r="R14" s="6"/>
      <c r="S14" s="6"/>
      <c r="T14" s="6"/>
      <c r="U14" s="6"/>
      <c r="V14" s="6"/>
      <c r="W14" s="6"/>
      <c r="X14" s="6" t="s">
        <v>594</v>
      </c>
    </row>
    <row r="15" spans="12:24" ht="14.25" customHeight="1" x14ac:dyDescent="0.15">
      <c r="L15" s="6" t="s">
        <v>75</v>
      </c>
      <c r="M15" s="6" t="s">
        <v>1749</v>
      </c>
      <c r="O15" s="6" t="s">
        <v>1814</v>
      </c>
      <c r="P15" s="6"/>
      <c r="Q15" s="6"/>
      <c r="R15" s="6"/>
      <c r="S15" s="6"/>
      <c r="T15" s="6"/>
      <c r="U15" s="6"/>
      <c r="V15" s="6" t="s">
        <v>1751</v>
      </c>
      <c r="W15" s="6" t="s">
        <v>1815</v>
      </c>
      <c r="X15" s="6"/>
    </row>
    <row r="16" spans="12:24" ht="33.75" customHeight="1" x14ac:dyDescent="0.15">
      <c r="L16" s="6"/>
      <c r="M16" s="6"/>
      <c r="O16" s="6" t="s">
        <v>1754</v>
      </c>
      <c r="P16" s="6" t="s">
        <v>1755</v>
      </c>
      <c r="Q16" s="6" t="s">
        <v>1756</v>
      </c>
      <c r="R16" s="6"/>
      <c r="S16" s="6" t="s">
        <v>1775</v>
      </c>
      <c r="T16" s="6"/>
      <c r="U16" s="6"/>
      <c r="V16" s="6"/>
      <c r="W16" s="6"/>
      <c r="X16" s="6"/>
    </row>
    <row r="17" spans="1:27" ht="33.75" customHeight="1" x14ac:dyDescent="0.15">
      <c r="A17" t="s">
        <v>442</v>
      </c>
      <c r="B17" t="s">
        <v>443</v>
      </c>
      <c r="C17" t="s">
        <v>444</v>
      </c>
      <c r="D17" t="s">
        <v>445</v>
      </c>
      <c r="L17" s="6"/>
      <c r="M17" s="6"/>
      <c r="O17" s="6"/>
      <c r="P17" s="6"/>
      <c r="Q17" t="s">
        <v>1765</v>
      </c>
      <c r="R17" t="s">
        <v>1766</v>
      </c>
      <c r="S17" t="s">
        <v>1767</v>
      </c>
      <c r="T17" s="6" t="s">
        <v>1768</v>
      </c>
      <c r="U17" s="6"/>
      <c r="V17" s="6"/>
      <c r="W17" s="6"/>
      <c r="X17" s="6"/>
    </row>
    <row r="18" spans="1:27" ht="11.25" customHeight="1" x14ac:dyDescent="0.15">
      <c r="K18">
        <v>1</v>
      </c>
      <c r="L18" t="s">
        <v>165</v>
      </c>
      <c r="M18" t="s">
        <v>89</v>
      </c>
      <c r="N18" t="str">
        <f ca="1">OFFSET(N18,0,-1)</f>
        <v>2</v>
      </c>
      <c r="O18">
        <f ca="1">OFFSET(O18,0,-1)+1</f>
        <v>3</v>
      </c>
      <c r="Q18">
        <f ca="1">OFFSET(Q18,0,-1)+1</f>
        <v>1</v>
      </c>
      <c r="R18">
        <f ca="1">OFFSET(R18,0,-1)+1</f>
        <v>2</v>
      </c>
      <c r="S18">
        <f ca="1">OFFSET(S18,0,-1)+1</f>
        <v>3</v>
      </c>
      <c r="T18" s="6">
        <f ca="1">OFFSET(T18,0,-1)+1</f>
        <v>4</v>
      </c>
      <c r="U18" s="6"/>
      <c r="V18">
        <f ca="1">OFFSET(V18,0,-2)+1</f>
        <v>5</v>
      </c>
      <c r="W18">
        <f ca="1">OFFSET(W18,0,-1)</f>
        <v>5</v>
      </c>
      <c r="X18">
        <f ca="1">OFFSET(X18,0,-1)+1</f>
        <v>6</v>
      </c>
    </row>
    <row r="19" spans="1:27" ht="21" customHeight="1" x14ac:dyDescent="0.15">
      <c r="A19" t="s">
        <v>472</v>
      </c>
      <c r="B19" t="s">
        <v>473</v>
      </c>
      <c r="C19" t="s">
        <v>474</v>
      </c>
      <c r="D19" t="s">
        <v>475</v>
      </c>
      <c r="L19">
        <f>INDEX(PT_DIFFERENTIATION_NUM_NTAR,MATCH(A19,PT_DIFFERENTIATION_NTAR_ID,0))</f>
        <v>0</v>
      </c>
      <c r="M19" t="s">
        <v>431</v>
      </c>
      <c r="O19" s="6" t="str">
        <f>INDEX(PT_DIFFERENTIATION_NTAR,MATCH(A19,PT_DIFFERENTIATION_NTAR_ID,0))</f>
        <v/>
      </c>
      <c r="P19" s="6"/>
      <c r="Q19" s="6"/>
      <c r="R19" s="6"/>
      <c r="S19" s="6"/>
      <c r="T19" s="6"/>
      <c r="U19" s="6"/>
      <c r="V19" s="6"/>
      <c r="W19" s="6"/>
      <c r="X19" t="s">
        <v>1720</v>
      </c>
      <c r="AA19" t="str">
        <f t="shared" ref="AA19:AA32" si="0">IF(M19="","",M19)</f>
        <v>Наименование тарифа</v>
      </c>
    </row>
    <row r="20" spans="1:27" ht="21" customHeight="1" x14ac:dyDescent="0.15">
      <c r="A20" t="s">
        <v>472</v>
      </c>
      <c r="B20" t="s">
        <v>473</v>
      </c>
      <c r="C20" t="s">
        <v>474</v>
      </c>
      <c r="D20" t="s">
        <v>475</v>
      </c>
      <c r="L20" t="str">
        <f>INDEX(PT_DIFFERENTIATION_NUM_TER,MATCH(B19,PT_DIFFERENTIATION_TER_ID,0))</f>
        <v>.</v>
      </c>
      <c r="M20" t="s">
        <v>1721</v>
      </c>
      <c r="O20" s="6" t="str">
        <f>INDEX(PT_DIFFERENTIATION_TER,MATCH(B19,PT_DIFFERENTIATION_TER_ID,0))</f>
        <v/>
      </c>
      <c r="P20" s="6"/>
      <c r="Q20" s="6"/>
      <c r="R20" s="6"/>
      <c r="S20" s="6"/>
      <c r="T20" s="6"/>
      <c r="U20" s="6"/>
      <c r="V20" s="6"/>
      <c r="W20" s="6"/>
      <c r="X20" t="s">
        <v>1722</v>
      </c>
      <c r="AA20" t="str">
        <f t="shared" si="0"/>
        <v>Территория действия тарифа</v>
      </c>
    </row>
    <row r="21" spans="1:27" ht="22.5" customHeight="1" x14ac:dyDescent="0.15">
      <c r="A21" t="s">
        <v>472</v>
      </c>
      <c r="B21" t="s">
        <v>473</v>
      </c>
      <c r="C21" t="s">
        <v>474</v>
      </c>
      <c r="D21" t="s">
        <v>475</v>
      </c>
      <c r="L21" t="str">
        <f>INDEX(PT_DIFFERENTIATION_NUM_CS,MATCH(C19,PT_DIFFERENTIATION_CS_ID,0))</f>
        <v>..</v>
      </c>
      <c r="M21" t="s">
        <v>1723</v>
      </c>
      <c r="O21" s="6" t="str">
        <f>INDEX(PT_DIFFERENTIATION_CS,MATCH(C19,PT_DIFFERENTIATION_CS_ID,0))</f>
        <v/>
      </c>
      <c r="P21" s="6"/>
      <c r="Q21" s="6"/>
      <c r="R21" s="6"/>
      <c r="S21" s="6"/>
      <c r="T21" s="6"/>
      <c r="U21" s="6"/>
      <c r="V21" s="6"/>
      <c r="W21" s="6"/>
      <c r="X21" t="s">
        <v>1724</v>
      </c>
      <c r="AA21" t="str">
        <f t="shared" si="0"/>
        <v xml:space="preserve">Наименование системы теплоснабжения </v>
      </c>
    </row>
    <row r="22" spans="1:27" ht="21" customHeight="1" x14ac:dyDescent="0.15">
      <c r="A22" t="s">
        <v>472</v>
      </c>
      <c r="B22" t="s">
        <v>473</v>
      </c>
      <c r="C22" t="s">
        <v>474</v>
      </c>
      <c r="D22" t="s">
        <v>475</v>
      </c>
      <c r="L22" t="str">
        <f>INDEX(PT_DIFFERENTIATION_NUM_IST_TE,MATCH(D19,PT_DIFFERENTIATION_IST_TE_ID,0))</f>
        <v>...</v>
      </c>
      <c r="M22" t="s">
        <v>1725</v>
      </c>
      <c r="O22" s="6" t="str">
        <f>INDEX(PT_DIFFERENTIATION_IST_TE,MATCH(D19,PT_DIFFERENTIATION_IST_TE_ID,0))</f>
        <v/>
      </c>
      <c r="P22" s="6"/>
      <c r="Q22" s="6"/>
      <c r="R22" s="6"/>
      <c r="S22" s="6"/>
      <c r="T22" s="6"/>
      <c r="U22" s="6"/>
      <c r="V22" s="6"/>
      <c r="W22" s="6"/>
      <c r="X22" t="s">
        <v>1726</v>
      </c>
      <c r="AA22" t="str">
        <f t="shared" si="0"/>
        <v xml:space="preserve">Источник тепловой энергии  </v>
      </c>
    </row>
    <row r="23" spans="1:27" ht="94.5" customHeight="1" x14ac:dyDescent="0.15">
      <c r="A23" t="s">
        <v>472</v>
      </c>
      <c r="B23" t="s">
        <v>473</v>
      </c>
      <c r="C23" t="s">
        <v>474</v>
      </c>
      <c r="D23" t="s">
        <v>475</v>
      </c>
      <c r="F23" s="6" t="str">
        <f>L22&amp;".1"</f>
        <v>....1</v>
      </c>
      <c r="I23" s="6">
        <v>1</v>
      </c>
      <c r="L23" t="str">
        <f>$F$23</f>
        <v>....1</v>
      </c>
      <c r="M23" t="s">
        <v>1728</v>
      </c>
      <c r="O23" s="6"/>
      <c r="P23" s="6"/>
      <c r="Q23" s="6"/>
      <c r="R23" s="6"/>
      <c r="S23" s="6"/>
      <c r="T23" s="6"/>
      <c r="U23" s="6"/>
      <c r="V23" s="6"/>
      <c r="W23" s="6"/>
      <c r="X23" t="s">
        <v>1729</v>
      </c>
      <c r="AA23" t="str">
        <f t="shared" si="0"/>
        <v>Схема подключения теплопотребляющей установки к коллектору источника тепловой энергии</v>
      </c>
    </row>
    <row r="24" spans="1:27" ht="84" customHeight="1" x14ac:dyDescent="0.15">
      <c r="A24" t="s">
        <v>472</v>
      </c>
      <c r="B24" t="s">
        <v>473</v>
      </c>
      <c r="C24" t="s">
        <v>474</v>
      </c>
      <c r="D24" t="s">
        <v>475</v>
      </c>
      <c r="F24" s="6"/>
      <c r="G24" s="6" t="str">
        <f>F23&amp;".1"</f>
        <v>....1.1</v>
      </c>
      <c r="I24" s="6"/>
      <c r="J24" s="6">
        <v>1</v>
      </c>
      <c r="L24" t="str">
        <f>$G$24</f>
        <v>....1.1</v>
      </c>
      <c r="M24" t="s">
        <v>1731</v>
      </c>
      <c r="O24" s="6"/>
      <c r="P24" s="6"/>
      <c r="Q24" s="6"/>
      <c r="R24" s="6"/>
      <c r="S24" s="6"/>
      <c r="T24" s="6"/>
      <c r="U24" s="6"/>
      <c r="V24" s="6"/>
      <c r="W24" s="6"/>
      <c r="X24" t="s">
        <v>1732</v>
      </c>
      <c r="AA24" t="str">
        <f t="shared" si="0"/>
        <v>Группа потребителей</v>
      </c>
    </row>
    <row r="25" spans="1:27" ht="11.25" customHeight="1" x14ac:dyDescent="0.15">
      <c r="A25" t="s">
        <v>472</v>
      </c>
      <c r="B25" t="s">
        <v>473</v>
      </c>
      <c r="C25" t="s">
        <v>474</v>
      </c>
      <c r="D25" t="s">
        <v>475</v>
      </c>
      <c r="F25" s="6"/>
      <c r="G25" s="6"/>
      <c r="H25" s="6" t="str">
        <f>G24&amp;".1"</f>
        <v>....1.1.1</v>
      </c>
      <c r="I25" s="6"/>
      <c r="J25" s="6"/>
      <c r="K25">
        <v>1</v>
      </c>
      <c r="L25" t="str">
        <f>$H$25</f>
        <v>....1.1.1</v>
      </c>
      <c r="S25" s="6"/>
      <c r="T25" s="6" t="s">
        <v>50</v>
      </c>
      <c r="U25" s="6"/>
      <c r="V25" s="6" t="s">
        <v>43</v>
      </c>
      <c r="X25" s="6" t="s">
        <v>1734</v>
      </c>
      <c r="Y25" t="e">
        <f ca="1">STRCHECKDATE(O26:W26)</f>
        <v>#NAME?</v>
      </c>
      <c r="AA25" t="str">
        <f t="shared" si="0"/>
        <v/>
      </c>
    </row>
    <row r="26" spans="1:27" ht="11.25" customHeight="1" x14ac:dyDescent="0.15">
      <c r="A26" t="s">
        <v>472</v>
      </c>
      <c r="B26" t="s">
        <v>473</v>
      </c>
      <c r="C26" t="s">
        <v>474</v>
      </c>
      <c r="D26" t="s">
        <v>475</v>
      </c>
      <c r="F26" s="6"/>
      <c r="G26" s="6"/>
      <c r="H26" s="6"/>
      <c r="I26" s="6"/>
      <c r="J26" s="6"/>
      <c r="R26" t="str">
        <f>S25&amp;"-"&amp;U25</f>
        <v>-</v>
      </c>
      <c r="S26" s="6"/>
      <c r="T26" s="6"/>
      <c r="U26" s="6"/>
      <c r="V26" s="6"/>
      <c r="X26" s="6"/>
      <c r="AA26" t="str">
        <f t="shared" si="0"/>
        <v/>
      </c>
    </row>
    <row r="27" spans="1:27" ht="15" customHeight="1" x14ac:dyDescent="0.15">
      <c r="A27" t="s">
        <v>472</v>
      </c>
      <c r="B27" t="s">
        <v>473</v>
      </c>
      <c r="C27" t="s">
        <v>474</v>
      </c>
      <c r="D27" t="s">
        <v>475</v>
      </c>
      <c r="F27" s="6"/>
      <c r="G27" s="6"/>
      <c r="I27" s="6"/>
      <c r="J27" s="6"/>
      <c r="M27" t="s">
        <v>1735</v>
      </c>
      <c r="X27" s="6"/>
      <c r="AA27" t="str">
        <f t="shared" si="0"/>
        <v>Добавить вид теплоносителя (параметры теплоносителя)</v>
      </c>
    </row>
    <row r="28" spans="1:27" ht="15" customHeight="1" x14ac:dyDescent="0.15">
      <c r="A28" t="s">
        <v>472</v>
      </c>
      <c r="B28" t="s">
        <v>473</v>
      </c>
      <c r="C28" t="s">
        <v>474</v>
      </c>
      <c r="D28" t="s">
        <v>475</v>
      </c>
      <c r="F28" s="6"/>
      <c r="I28" s="6"/>
      <c r="M28" t="s">
        <v>1736</v>
      </c>
      <c r="AA28" t="str">
        <f t="shared" si="0"/>
        <v>Добавить группу потребителей</v>
      </c>
    </row>
    <row r="29" spans="1:27" ht="14.25" customHeight="1" x14ac:dyDescent="0.15">
      <c r="A29" t="s">
        <v>472</v>
      </c>
      <c r="B29" t="s">
        <v>473</v>
      </c>
      <c r="C29" t="s">
        <v>474</v>
      </c>
      <c r="D29" t="s">
        <v>475</v>
      </c>
      <c r="M29" t="s">
        <v>1737</v>
      </c>
      <c r="AA29" t="str">
        <f t="shared" si="0"/>
        <v>Добавить схему подключения</v>
      </c>
    </row>
    <row r="30" spans="1:27" ht="14.25" customHeight="1" x14ac:dyDescent="0.15">
      <c r="A30" t="s">
        <v>472</v>
      </c>
      <c r="B30" t="s">
        <v>473</v>
      </c>
      <c r="C30" t="s">
        <v>474</v>
      </c>
      <c r="E30" t="s">
        <v>1816</v>
      </c>
      <c r="AA30" t="str">
        <f t="shared" si="0"/>
        <v/>
      </c>
    </row>
    <row r="31" spans="1:27" ht="14.25" customHeight="1" x14ac:dyDescent="0.15">
      <c r="A31" t="s">
        <v>472</v>
      </c>
      <c r="B31" t="s">
        <v>473</v>
      </c>
      <c r="E31" t="s">
        <v>1817</v>
      </c>
      <c r="AA31" t="str">
        <f t="shared" si="0"/>
        <v/>
      </c>
    </row>
    <row r="32" spans="1:27" ht="14.25" customHeight="1" x14ac:dyDescent="0.15">
      <c r="A32" t="s">
        <v>1818</v>
      </c>
      <c r="E32" t="s">
        <v>354</v>
      </c>
      <c r="AA32" t="str">
        <f t="shared" si="0"/>
        <v/>
      </c>
    </row>
    <row r="33" spans="5:24" ht="11.25" customHeight="1" x14ac:dyDescent="0.15">
      <c r="E33" t="s">
        <v>1699</v>
      </c>
    </row>
    <row r="34" spans="5:24" ht="11.25" customHeight="1" x14ac:dyDescent="0.15"/>
    <row r="35" spans="5:24" ht="27" customHeight="1" x14ac:dyDescent="0.15">
      <c r="L35" t="s">
        <v>1769</v>
      </c>
      <c r="M35" s="6" t="s">
        <v>1776</v>
      </c>
      <c r="N35" s="6"/>
      <c r="O35" s="6"/>
      <c r="P35" s="6"/>
      <c r="Q35" s="6"/>
      <c r="R35" s="6"/>
      <c r="S35" s="6"/>
      <c r="T35" s="6"/>
      <c r="U35" s="6"/>
      <c r="V35" s="6"/>
      <c r="W35" s="6"/>
      <c r="X35" s="6"/>
    </row>
    <row r="36" spans="5:24" ht="104.25" customHeight="1" x14ac:dyDescent="0.15">
      <c r="M36" s="6" t="s">
        <v>1771</v>
      </c>
      <c r="N36" s="6"/>
      <c r="O36" s="6"/>
      <c r="P36" s="6"/>
      <c r="Q36" s="6"/>
      <c r="R36" s="6"/>
      <c r="S36" s="6"/>
      <c r="T36" s="6"/>
      <c r="U36" s="6"/>
      <c r="V36" s="6"/>
      <c r="W36" s="6"/>
      <c r="X36" s="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36"/>
  <sheetViews>
    <sheetView showGridLines="0" topLeftCell="A4" workbookViewId="0"/>
  </sheetViews>
  <sheetFormatPr defaultColWidth="10.5703125" defaultRowHeight="14.25" customHeight="1" x14ac:dyDescent="0.15"/>
  <cols>
    <col min="1" max="1" width="11.5703125" customWidth="1"/>
    <col min="2" max="2" width="10.7109375" customWidth="1"/>
    <col min="3" max="3" width="10" customWidth="1"/>
    <col min="4" max="4" width="12.85546875" customWidth="1"/>
    <col min="5" max="8" width="12.28515625" customWidth="1"/>
    <col min="9" max="11" width="3.7109375" customWidth="1"/>
    <col min="12" max="12" width="12.7109375" customWidth="1"/>
    <col min="13" max="13" width="32" customWidth="1"/>
    <col min="14" max="14" width="1.7109375" customWidth="1"/>
    <col min="15" max="18" width="24.7109375" customWidth="1"/>
    <col min="19" max="19" width="11.7109375" customWidth="1"/>
    <col min="20" max="20" width="3.7109375" customWidth="1"/>
    <col min="21" max="21" width="11.7109375" customWidth="1"/>
    <col min="22" max="22" width="8.5703125" customWidth="1"/>
    <col min="23" max="23" width="4.7109375" customWidth="1"/>
    <col min="24" max="24" width="115.7109375" customWidth="1"/>
    <col min="27" max="27" width="11.140625" customWidth="1"/>
  </cols>
  <sheetData>
    <row r="1" spans="12:24" ht="14.25" hidden="1" customHeight="1" x14ac:dyDescent="0.15"/>
    <row r="2" spans="12:24" ht="14.25" hidden="1" customHeight="1" x14ac:dyDescent="0.15"/>
    <row r="3" spans="12:24" ht="14.25" hidden="1" customHeight="1" x14ac:dyDescent="0.15"/>
    <row r="5" spans="12:24" ht="64.5" customHeight="1" x14ac:dyDescent="0.15">
      <c r="L5" s="6" t="s">
        <v>715</v>
      </c>
      <c r="M5" s="6"/>
      <c r="N5" s="6"/>
      <c r="O5" s="6"/>
      <c r="P5" s="6"/>
      <c r="Q5" s="6"/>
      <c r="R5" s="6"/>
      <c r="S5" s="6"/>
      <c r="T5" s="6"/>
      <c r="U5" s="6"/>
    </row>
    <row r="6" spans="12:24" ht="14.25" customHeight="1" x14ac:dyDescent="0.15">
      <c r="L6" s="6" t="str">
        <f>IF(org=0,"Не определено",org)</f>
        <v>КГУП "Примтеплоэнерго"</v>
      </c>
      <c r="M6" s="6"/>
      <c r="N6" s="6"/>
      <c r="O6" s="6"/>
      <c r="P6" s="6"/>
      <c r="Q6" s="6"/>
      <c r="R6" s="6"/>
      <c r="S6" s="6"/>
      <c r="T6" s="6"/>
      <c r="U6" s="6"/>
    </row>
    <row r="8" spans="12:24" ht="45" customHeight="1" x14ac:dyDescent="0.15">
      <c r="M8" t="s">
        <v>25</v>
      </c>
      <c r="O8" s="6" t="str">
        <f>IF(TITLE_NAME_OR_PR_CHANGE="",IF(TITLE_NAME_OR_PR="","",TITLE_NAME_OR_PR),TITLE_NAME_OR_PR_CHANGE)</f>
        <v/>
      </c>
      <c r="P8" s="6"/>
      <c r="Q8" s="6"/>
      <c r="R8" s="6"/>
      <c r="S8" s="6"/>
      <c r="T8" s="6"/>
      <c r="U8" s="6"/>
    </row>
    <row r="9" spans="12:24" ht="22.5" customHeight="1" x14ac:dyDescent="0.15">
      <c r="M9" t="s">
        <v>1744</v>
      </c>
      <c r="O9" s="6" t="str">
        <f>IF(TITLE_DATE_CHANGE_PERIOD="",IF(TITLE_DATE_PR="","",TITLE_DATE_PR),TITLE_DATE_CHANGE_PERIOD)</f>
        <v/>
      </c>
      <c r="P9" s="6"/>
      <c r="Q9" s="6"/>
      <c r="R9" s="6"/>
      <c r="S9" s="6"/>
      <c r="T9" s="6"/>
      <c r="U9" s="6"/>
    </row>
    <row r="10" spans="12:24" ht="22.5" customHeight="1" x14ac:dyDescent="0.15">
      <c r="M10" t="s">
        <v>1745</v>
      </c>
      <c r="O10" s="6" t="str">
        <f>IF(TITLE_NUMBER_PR_CHANGE="",IF(TITLE_NUMBER_PR="","",TITLE_NUMBER_PR),TITLE_NUMBER_PR_CHANGE)</f>
        <v/>
      </c>
      <c r="P10" s="6"/>
      <c r="Q10" s="6"/>
      <c r="R10" s="6"/>
      <c r="S10" s="6"/>
      <c r="T10" s="6"/>
      <c r="U10" s="6"/>
    </row>
    <row r="11" spans="12:24" ht="22.5" customHeight="1" x14ac:dyDescent="0.15">
      <c r="M11" t="s">
        <v>26</v>
      </c>
      <c r="O11" s="6" t="str">
        <f>IF(TITLE_IST_PUB_CHANGE="",IF(TITLE_IST_PUB="","",TITLE_IST_PUB),TITLE_IST_PUB_CHANGE)</f>
        <v/>
      </c>
      <c r="P11" s="6"/>
      <c r="Q11" s="6"/>
      <c r="R11" s="6"/>
      <c r="S11" s="6"/>
      <c r="T11" s="6"/>
      <c r="U11" s="6"/>
    </row>
    <row r="12" spans="12:24" ht="11.25" hidden="1" customHeight="1" x14ac:dyDescent="0.15">
      <c r="L12" s="6"/>
      <c r="M12" s="6"/>
      <c r="V12" t="s">
        <v>1748</v>
      </c>
    </row>
    <row r="13" spans="12:24" ht="14.25" customHeight="1" x14ac:dyDescent="0.15">
      <c r="O13" s="6"/>
      <c r="P13" s="6"/>
      <c r="Q13" s="6"/>
      <c r="R13" s="6"/>
      <c r="S13" s="6"/>
      <c r="T13" s="6"/>
      <c r="U13" s="6"/>
      <c r="V13" s="6"/>
    </row>
    <row r="14" spans="12:24" ht="14.25" customHeight="1" x14ac:dyDescent="0.15">
      <c r="L14" s="6" t="s">
        <v>593</v>
      </c>
      <c r="M14" s="6"/>
      <c r="N14" s="6"/>
      <c r="O14" s="6"/>
      <c r="P14" s="6"/>
      <c r="Q14" s="6"/>
      <c r="R14" s="6"/>
      <c r="S14" s="6"/>
      <c r="T14" s="6"/>
      <c r="U14" s="6"/>
      <c r="V14" s="6"/>
      <c r="W14" s="6"/>
      <c r="X14" s="6" t="s">
        <v>594</v>
      </c>
    </row>
    <row r="15" spans="12:24" ht="14.25" customHeight="1" x14ac:dyDescent="0.15">
      <c r="L15" s="6" t="s">
        <v>75</v>
      </c>
      <c r="M15" s="6" t="s">
        <v>1749</v>
      </c>
      <c r="O15" s="6" t="s">
        <v>1814</v>
      </c>
      <c r="P15" s="6"/>
      <c r="Q15" s="6"/>
      <c r="R15" s="6"/>
      <c r="S15" s="6"/>
      <c r="T15" s="6"/>
      <c r="U15" s="6"/>
      <c r="V15" s="6" t="s">
        <v>1751</v>
      </c>
      <c r="W15" s="6" t="s">
        <v>1815</v>
      </c>
      <c r="X15" s="6"/>
    </row>
    <row r="16" spans="12:24" ht="33.75" customHeight="1" x14ac:dyDescent="0.15">
      <c r="L16" s="6"/>
      <c r="M16" s="6"/>
      <c r="O16" s="6" t="s">
        <v>1754</v>
      </c>
      <c r="P16" s="6" t="s">
        <v>1755</v>
      </c>
      <c r="Q16" s="6" t="s">
        <v>1756</v>
      </c>
      <c r="R16" s="6"/>
      <c r="S16" s="6" t="s">
        <v>1775</v>
      </c>
      <c r="T16" s="6"/>
      <c r="U16" s="6"/>
      <c r="V16" s="6"/>
      <c r="W16" s="6"/>
      <c r="X16" s="6"/>
    </row>
    <row r="17" spans="1:27" ht="33.75" customHeight="1" x14ac:dyDescent="0.15">
      <c r="A17" t="s">
        <v>442</v>
      </c>
      <c r="B17" t="s">
        <v>443</v>
      </c>
      <c r="C17" t="s">
        <v>444</v>
      </c>
      <c r="D17" t="s">
        <v>445</v>
      </c>
      <c r="L17" s="6"/>
      <c r="M17" s="6"/>
      <c r="O17" s="6"/>
      <c r="P17" s="6"/>
      <c r="Q17" t="s">
        <v>1765</v>
      </c>
      <c r="R17" t="s">
        <v>1766</v>
      </c>
      <c r="S17" t="s">
        <v>1767</v>
      </c>
      <c r="T17" s="6" t="s">
        <v>1768</v>
      </c>
      <c r="U17" s="6"/>
      <c r="V17" s="6"/>
      <c r="W17" s="6"/>
      <c r="X17" s="6"/>
    </row>
    <row r="18" spans="1:27" ht="11.25" customHeight="1" x14ac:dyDescent="0.15">
      <c r="K18">
        <v>1</v>
      </c>
      <c r="L18" t="s">
        <v>165</v>
      </c>
      <c r="M18" t="s">
        <v>89</v>
      </c>
      <c r="N18" t="str">
        <f ca="1">OFFSET(N18,0,-1)</f>
        <v>2</v>
      </c>
      <c r="O18">
        <f ca="1">OFFSET(O18,0,-1)+1</f>
        <v>3</v>
      </c>
      <c r="Q18">
        <f ca="1">OFFSET(Q18,0,-1)+1</f>
        <v>1</v>
      </c>
      <c r="R18">
        <f ca="1">OFFSET(R18,0,-1)+1</f>
        <v>2</v>
      </c>
      <c r="S18">
        <f ca="1">OFFSET(S18,0,-1)+1</f>
        <v>3</v>
      </c>
      <c r="T18" s="6">
        <f ca="1">OFFSET(T18,0,-1)+1</f>
        <v>4</v>
      </c>
      <c r="U18" s="6"/>
      <c r="V18">
        <f ca="1">OFFSET(V18,0,-2)+1</f>
        <v>5</v>
      </c>
      <c r="W18">
        <f ca="1">OFFSET(W18,0,-1)</f>
        <v>5</v>
      </c>
      <c r="X18">
        <f ca="1">OFFSET(X18,0,-1)+1</f>
        <v>6</v>
      </c>
    </row>
    <row r="19" spans="1:27" ht="21" customHeight="1" x14ac:dyDescent="0.15">
      <c r="A19" t="s">
        <v>1819</v>
      </c>
      <c r="B19" t="s">
        <v>1820</v>
      </c>
      <c r="C19" t="s">
        <v>1821</v>
      </c>
      <c r="D19" t="s">
        <v>1822</v>
      </c>
      <c r="L19" t="e">
        <f>INDEX(PT_DIFFERENTIATION_NUM_NTAR,MATCH(A19,PT_DIFFERENTIATION_NTAR_ID,0))</f>
        <v>#N/A</v>
      </c>
      <c r="M19" t="s">
        <v>431</v>
      </c>
      <c r="O19" s="6" t="e">
        <f>INDEX(PT_DIFFERENTIATION_NTAR,MATCH(A19,PT_DIFFERENTIATION_NTAR_ID,0))</f>
        <v>#N/A</v>
      </c>
      <c r="P19" s="6"/>
      <c r="Q19" s="6"/>
      <c r="R19" s="6"/>
      <c r="S19" s="6"/>
      <c r="T19" s="6"/>
      <c r="U19" s="6"/>
      <c r="V19" s="6"/>
      <c r="W19" s="6"/>
      <c r="X19" t="s">
        <v>1720</v>
      </c>
      <c r="AA19" t="str">
        <f t="shared" ref="AA19:AA32" si="0">IF(M19="","",M19)</f>
        <v>Наименование тарифа</v>
      </c>
    </row>
    <row r="20" spans="1:27" ht="21" customHeight="1" x14ac:dyDescent="0.15">
      <c r="A20" t="s">
        <v>1819</v>
      </c>
      <c r="B20" t="s">
        <v>1820</v>
      </c>
      <c r="C20" t="s">
        <v>1821</v>
      </c>
      <c r="D20" t="s">
        <v>1822</v>
      </c>
      <c r="L20" t="e">
        <f>INDEX(PT_DIFFERENTIATION_NUM_TER,MATCH(B19,PT_DIFFERENTIATION_TER_ID,0))</f>
        <v>#N/A</v>
      </c>
      <c r="M20" t="s">
        <v>1721</v>
      </c>
      <c r="O20" s="6" t="e">
        <f>INDEX(PT_DIFFERENTIATION_TER,MATCH(B19,PT_DIFFERENTIATION_TER_ID,0))</f>
        <v>#N/A</v>
      </c>
      <c r="P20" s="6"/>
      <c r="Q20" s="6"/>
      <c r="R20" s="6"/>
      <c r="S20" s="6"/>
      <c r="T20" s="6"/>
      <c r="U20" s="6"/>
      <c r="V20" s="6"/>
      <c r="W20" s="6"/>
      <c r="X20" t="s">
        <v>1722</v>
      </c>
      <c r="AA20" t="str">
        <f t="shared" si="0"/>
        <v>Территория действия тарифа</v>
      </c>
    </row>
    <row r="21" spans="1:27" ht="22.5" customHeight="1" x14ac:dyDescent="0.15">
      <c r="A21" t="s">
        <v>1819</v>
      </c>
      <c r="B21" t="s">
        <v>1820</v>
      </c>
      <c r="C21" t="s">
        <v>1821</v>
      </c>
      <c r="D21" t="s">
        <v>1822</v>
      </c>
      <c r="L21" t="e">
        <f>INDEX(PT_DIFFERENTIATION_NUM_CS,MATCH(C19,PT_DIFFERENTIATION_CS_ID,0))</f>
        <v>#N/A</v>
      </c>
      <c r="M21" t="s">
        <v>1723</v>
      </c>
      <c r="O21" s="6" t="e">
        <f>INDEX(PT_DIFFERENTIATION_CS,MATCH(C19,PT_DIFFERENTIATION_CS_ID,0))</f>
        <v>#N/A</v>
      </c>
      <c r="P21" s="6"/>
      <c r="Q21" s="6"/>
      <c r="R21" s="6"/>
      <c r="S21" s="6"/>
      <c r="T21" s="6"/>
      <c r="U21" s="6"/>
      <c r="V21" s="6"/>
      <c r="W21" s="6"/>
      <c r="X21" t="s">
        <v>1724</v>
      </c>
      <c r="AA21" t="str">
        <f t="shared" si="0"/>
        <v xml:space="preserve">Наименование системы теплоснабжения </v>
      </c>
    </row>
    <row r="22" spans="1:27" ht="21" customHeight="1" x14ac:dyDescent="0.15">
      <c r="A22" t="s">
        <v>1819</v>
      </c>
      <c r="B22" t="s">
        <v>1820</v>
      </c>
      <c r="C22" t="s">
        <v>1821</v>
      </c>
      <c r="D22" t="s">
        <v>1822</v>
      </c>
      <c r="L22" t="e">
        <f>INDEX(PT_DIFFERENTIATION_NUM_IST_TE,MATCH(D19,PT_DIFFERENTIATION_IST_TE_ID,0))</f>
        <v>#N/A</v>
      </c>
      <c r="M22" t="s">
        <v>1725</v>
      </c>
      <c r="O22" s="6" t="e">
        <f>INDEX(PT_DIFFERENTIATION_IST_TE,MATCH(D19,PT_DIFFERENTIATION_IST_TE_ID,0))</f>
        <v>#N/A</v>
      </c>
      <c r="P22" s="6"/>
      <c r="Q22" s="6"/>
      <c r="R22" s="6"/>
      <c r="S22" s="6"/>
      <c r="T22" s="6"/>
      <c r="U22" s="6"/>
      <c r="V22" s="6"/>
      <c r="W22" s="6"/>
      <c r="X22" t="s">
        <v>1726</v>
      </c>
      <c r="AA22" t="str">
        <f t="shared" si="0"/>
        <v xml:space="preserve">Источник тепловой энергии  </v>
      </c>
    </row>
    <row r="23" spans="1:27" ht="94.5" customHeight="1" x14ac:dyDescent="0.15">
      <c r="A23" t="s">
        <v>1819</v>
      </c>
      <c r="B23" t="s">
        <v>1820</v>
      </c>
      <c r="C23" t="s">
        <v>1821</v>
      </c>
      <c r="D23" t="s">
        <v>1822</v>
      </c>
      <c r="F23" s="6" t="e">
        <f>L22&amp;".1"</f>
        <v>#N/A</v>
      </c>
      <c r="I23" s="6">
        <v>1</v>
      </c>
      <c r="L23" t="e">
        <f>$F$23</f>
        <v>#N/A</v>
      </c>
      <c r="M23" t="s">
        <v>1728</v>
      </c>
      <c r="O23" s="6"/>
      <c r="P23" s="6"/>
      <c r="Q23" s="6"/>
      <c r="R23" s="6"/>
      <c r="S23" s="6"/>
      <c r="T23" s="6"/>
      <c r="U23" s="6"/>
      <c r="V23" s="6"/>
      <c r="W23" s="6"/>
      <c r="X23" t="s">
        <v>1729</v>
      </c>
      <c r="AA23" t="str">
        <f t="shared" si="0"/>
        <v>Схема подключения теплопотребляющей установки к коллектору источника тепловой энергии</v>
      </c>
    </row>
    <row r="24" spans="1:27" ht="84" customHeight="1" x14ac:dyDescent="0.15">
      <c r="A24" t="s">
        <v>1819</v>
      </c>
      <c r="B24" t="s">
        <v>1820</v>
      </c>
      <c r="C24" t="s">
        <v>1821</v>
      </c>
      <c r="D24" t="s">
        <v>1822</v>
      </c>
      <c r="F24" s="6"/>
      <c r="G24" s="6" t="e">
        <f>F23&amp;".1"</f>
        <v>#N/A</v>
      </c>
      <c r="I24" s="6"/>
      <c r="J24" s="6">
        <v>1</v>
      </c>
      <c r="L24" t="e">
        <f>$G$24</f>
        <v>#N/A</v>
      </c>
      <c r="M24" t="s">
        <v>1731</v>
      </c>
      <c r="O24" s="6"/>
      <c r="P24" s="6"/>
      <c r="Q24" s="6"/>
      <c r="R24" s="6"/>
      <c r="S24" s="6"/>
      <c r="T24" s="6"/>
      <c r="U24" s="6"/>
      <c r="V24" s="6"/>
      <c r="W24" s="6"/>
      <c r="X24" t="s">
        <v>1732</v>
      </c>
      <c r="AA24" t="str">
        <f t="shared" si="0"/>
        <v>Группа потребителей</v>
      </c>
    </row>
    <row r="25" spans="1:27" ht="11.25" customHeight="1" x14ac:dyDescent="0.15">
      <c r="A25" t="s">
        <v>1819</v>
      </c>
      <c r="B25" t="s">
        <v>1820</v>
      </c>
      <c r="C25" t="s">
        <v>1821</v>
      </c>
      <c r="D25" t="s">
        <v>1822</v>
      </c>
      <c r="F25" s="6"/>
      <c r="G25" s="6"/>
      <c r="H25" s="6" t="e">
        <f>G24&amp;".1"</f>
        <v>#N/A</v>
      </c>
      <c r="I25" s="6"/>
      <c r="J25" s="6"/>
      <c r="K25">
        <v>1</v>
      </c>
      <c r="L25" t="e">
        <f>$H$25</f>
        <v>#N/A</v>
      </c>
      <c r="S25" s="6"/>
      <c r="T25" s="6" t="s">
        <v>50</v>
      </c>
      <c r="U25" s="6"/>
      <c r="V25" s="6" t="s">
        <v>43</v>
      </c>
      <c r="X25" s="6" t="s">
        <v>1734</v>
      </c>
      <c r="Y25" t="e">
        <f ca="1">STRCHECKDATE(O26:W26)</f>
        <v>#NAME?</v>
      </c>
      <c r="AA25" t="str">
        <f t="shared" si="0"/>
        <v/>
      </c>
    </row>
    <row r="26" spans="1:27" ht="11.25" customHeight="1" x14ac:dyDescent="0.15">
      <c r="A26" t="s">
        <v>1819</v>
      </c>
      <c r="B26" t="s">
        <v>1820</v>
      </c>
      <c r="C26" t="s">
        <v>1821</v>
      </c>
      <c r="D26" t="s">
        <v>1822</v>
      </c>
      <c r="F26" s="6"/>
      <c r="G26" s="6"/>
      <c r="H26" s="6"/>
      <c r="I26" s="6"/>
      <c r="J26" s="6"/>
      <c r="R26" t="str">
        <f>S25&amp;"-"&amp;U25</f>
        <v>-</v>
      </c>
      <c r="S26" s="6"/>
      <c r="T26" s="6"/>
      <c r="U26" s="6"/>
      <c r="V26" s="6"/>
      <c r="X26" s="6"/>
      <c r="AA26" t="str">
        <f t="shared" si="0"/>
        <v/>
      </c>
    </row>
    <row r="27" spans="1:27" ht="15" customHeight="1" x14ac:dyDescent="0.15">
      <c r="A27" t="s">
        <v>1819</v>
      </c>
      <c r="B27" t="s">
        <v>1820</v>
      </c>
      <c r="C27" t="s">
        <v>1821</v>
      </c>
      <c r="D27" t="s">
        <v>1822</v>
      </c>
      <c r="F27" s="6"/>
      <c r="G27" s="6"/>
      <c r="I27" s="6"/>
      <c r="J27" s="6"/>
      <c r="M27" t="s">
        <v>1735</v>
      </c>
      <c r="X27" s="6"/>
      <c r="AA27" t="str">
        <f t="shared" si="0"/>
        <v>Добавить вид теплоносителя (параметры теплоносителя)</v>
      </c>
    </row>
    <row r="28" spans="1:27" ht="15" customHeight="1" x14ac:dyDescent="0.15">
      <c r="A28" t="s">
        <v>1819</v>
      </c>
      <c r="B28" t="s">
        <v>1820</v>
      </c>
      <c r="C28" t="s">
        <v>1821</v>
      </c>
      <c r="D28" t="s">
        <v>1822</v>
      </c>
      <c r="F28" s="6"/>
      <c r="I28" s="6"/>
      <c r="M28" t="s">
        <v>1736</v>
      </c>
      <c r="AA28" t="str">
        <f t="shared" si="0"/>
        <v>Добавить группу потребителей</v>
      </c>
    </row>
    <row r="29" spans="1:27" ht="14.25" customHeight="1" x14ac:dyDescent="0.15">
      <c r="A29" t="s">
        <v>1819</v>
      </c>
      <c r="B29" t="s">
        <v>1820</v>
      </c>
      <c r="C29" t="s">
        <v>1821</v>
      </c>
      <c r="D29" t="s">
        <v>1822</v>
      </c>
      <c r="M29" t="s">
        <v>1737</v>
      </c>
      <c r="AA29" t="str">
        <f t="shared" si="0"/>
        <v>Добавить схему подключения</v>
      </c>
    </row>
    <row r="30" spans="1:27" ht="14.25" customHeight="1" x14ac:dyDescent="0.15">
      <c r="A30" t="s">
        <v>1819</v>
      </c>
      <c r="B30" t="s">
        <v>1820</v>
      </c>
      <c r="C30" t="s">
        <v>1821</v>
      </c>
      <c r="E30" t="s">
        <v>1816</v>
      </c>
      <c r="AA30" t="str">
        <f t="shared" si="0"/>
        <v/>
      </c>
    </row>
    <row r="31" spans="1:27" ht="14.25" customHeight="1" x14ac:dyDescent="0.15">
      <c r="A31" t="s">
        <v>1819</v>
      </c>
      <c r="B31" t="s">
        <v>1820</v>
      </c>
      <c r="E31" t="s">
        <v>1817</v>
      </c>
      <c r="AA31" t="str">
        <f t="shared" si="0"/>
        <v/>
      </c>
    </row>
    <row r="32" spans="1:27" ht="14.25" customHeight="1" x14ac:dyDescent="0.15">
      <c r="A32" t="s">
        <v>1823</v>
      </c>
      <c r="E32" t="s">
        <v>354</v>
      </c>
      <c r="AA32" t="str">
        <f t="shared" si="0"/>
        <v/>
      </c>
    </row>
    <row r="33" spans="5:24" ht="11.25" customHeight="1" x14ac:dyDescent="0.15">
      <c r="E33" t="s">
        <v>1699</v>
      </c>
    </row>
    <row r="34" spans="5:24" ht="11.25" customHeight="1" x14ac:dyDescent="0.15"/>
    <row r="35" spans="5:24" ht="27" customHeight="1" x14ac:dyDescent="0.15">
      <c r="L35" t="s">
        <v>1769</v>
      </c>
      <c r="M35" s="6" t="s">
        <v>1776</v>
      </c>
      <c r="N35" s="6"/>
      <c r="O35" s="6"/>
      <c r="P35" s="6"/>
      <c r="Q35" s="6"/>
      <c r="R35" s="6"/>
      <c r="S35" s="6"/>
      <c r="T35" s="6"/>
      <c r="U35" s="6"/>
      <c r="V35" s="6"/>
      <c r="W35" s="6"/>
      <c r="X35" s="6"/>
    </row>
    <row r="36" spans="5:24" ht="104.25" customHeight="1" x14ac:dyDescent="0.15">
      <c r="M36" s="6" t="s">
        <v>1771</v>
      </c>
      <c r="N36" s="6"/>
      <c r="O36" s="6"/>
      <c r="P36" s="6"/>
      <c r="Q36" s="6"/>
      <c r="R36" s="6"/>
      <c r="S36" s="6"/>
      <c r="T36" s="6"/>
      <c r="U36" s="6"/>
      <c r="V36" s="6"/>
      <c r="W36" s="6"/>
      <c r="X36" s="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A36"/>
  <sheetViews>
    <sheetView showGridLines="0" topLeftCell="A4" workbookViewId="0"/>
  </sheetViews>
  <sheetFormatPr defaultColWidth="10.5703125" defaultRowHeight="14.25" customHeight="1" x14ac:dyDescent="0.15"/>
  <cols>
    <col min="2" max="2" width="11" customWidth="1"/>
    <col min="4" max="4" width="11.85546875" customWidth="1"/>
    <col min="5" max="8" width="12.28515625" customWidth="1"/>
    <col min="9" max="11" width="3.7109375" customWidth="1"/>
    <col min="12" max="12" width="12.7109375" customWidth="1"/>
    <col min="13" max="13" width="32" customWidth="1"/>
    <col min="14" max="14" width="1.7109375" customWidth="1"/>
    <col min="15" max="18" width="24.7109375" customWidth="1"/>
    <col min="19" max="19" width="11.7109375" customWidth="1"/>
    <col min="20" max="20" width="3.7109375" customWidth="1"/>
    <col min="21" max="21" width="11.7109375" customWidth="1"/>
    <col min="22" max="22" width="8.5703125" customWidth="1"/>
    <col min="23" max="23" width="4.7109375" customWidth="1"/>
    <col min="24" max="24" width="115.7109375" customWidth="1"/>
    <col min="27" max="27" width="11.140625" customWidth="1"/>
  </cols>
  <sheetData>
    <row r="1" spans="12:24" ht="14.25" hidden="1" customHeight="1" x14ac:dyDescent="0.15"/>
    <row r="2" spans="12:24" ht="14.25" hidden="1" customHeight="1" x14ac:dyDescent="0.15"/>
    <row r="3" spans="12:24" ht="14.25" hidden="1" customHeight="1" x14ac:dyDescent="0.15"/>
    <row r="5" spans="12:24" ht="64.5" customHeight="1" x14ac:dyDescent="0.15">
      <c r="L5" s="6" t="s">
        <v>715</v>
      </c>
      <c r="M5" s="6"/>
      <c r="N5" s="6"/>
      <c r="O5" s="6"/>
      <c r="P5" s="6"/>
      <c r="Q5" s="6"/>
      <c r="R5" s="6"/>
      <c r="S5" s="6"/>
      <c r="T5" s="6"/>
      <c r="U5" s="6"/>
    </row>
    <row r="6" spans="12:24" ht="14.25" customHeight="1" x14ac:dyDescent="0.15">
      <c r="L6" s="6" t="str">
        <f>IF(org=0,"Не определено",org)</f>
        <v>КГУП "Примтеплоэнерго"</v>
      </c>
      <c r="M6" s="6"/>
      <c r="N6" s="6"/>
      <c r="O6" s="6"/>
      <c r="P6" s="6"/>
      <c r="Q6" s="6"/>
      <c r="R6" s="6"/>
      <c r="S6" s="6"/>
      <c r="T6" s="6"/>
      <c r="U6" s="6"/>
    </row>
    <row r="8" spans="12:24" ht="45" customHeight="1" x14ac:dyDescent="0.15">
      <c r="M8" t="s">
        <v>25</v>
      </c>
      <c r="O8" s="6" t="str">
        <f>IF(TITLE_NAME_OR_PR_CHANGE="",IF(TITLE_NAME_OR_PR="","",TITLE_NAME_OR_PR),TITLE_NAME_OR_PR_CHANGE)</f>
        <v/>
      </c>
      <c r="P8" s="6"/>
      <c r="Q8" s="6"/>
      <c r="R8" s="6"/>
      <c r="S8" s="6"/>
      <c r="T8" s="6"/>
      <c r="U8" s="6"/>
    </row>
    <row r="9" spans="12:24" ht="22.5" customHeight="1" x14ac:dyDescent="0.15">
      <c r="M9" t="s">
        <v>1744</v>
      </c>
      <c r="O9" s="6" t="str">
        <f>IF(TITLE_DATE_CHANGE_PERIOD="",IF(TITLE_DATE_PR="","",TITLE_DATE_PR),TITLE_DATE_CHANGE_PERIOD)</f>
        <v/>
      </c>
      <c r="P9" s="6"/>
      <c r="Q9" s="6"/>
      <c r="R9" s="6"/>
      <c r="S9" s="6"/>
      <c r="T9" s="6"/>
      <c r="U9" s="6"/>
    </row>
    <row r="10" spans="12:24" ht="22.5" customHeight="1" x14ac:dyDescent="0.15">
      <c r="M10" t="s">
        <v>1745</v>
      </c>
      <c r="O10" s="6" t="str">
        <f>IF(TITLE_NUMBER_PR_CHANGE="",IF(TITLE_NUMBER_PR="","",TITLE_NUMBER_PR),TITLE_NUMBER_PR_CHANGE)</f>
        <v/>
      </c>
      <c r="P10" s="6"/>
      <c r="Q10" s="6"/>
      <c r="R10" s="6"/>
      <c r="S10" s="6"/>
      <c r="T10" s="6"/>
      <c r="U10" s="6"/>
    </row>
    <row r="11" spans="12:24" ht="22.5" customHeight="1" x14ac:dyDescent="0.15">
      <c r="M11" t="s">
        <v>26</v>
      </c>
      <c r="O11" s="6" t="str">
        <f>IF(TITLE_IST_PUB_CHANGE="",IF(TITLE_IST_PUB="","",TITLE_IST_PUB),TITLE_IST_PUB_CHANGE)</f>
        <v/>
      </c>
      <c r="P11" s="6"/>
      <c r="Q11" s="6"/>
      <c r="R11" s="6"/>
      <c r="S11" s="6"/>
      <c r="T11" s="6"/>
      <c r="U11" s="6"/>
    </row>
    <row r="12" spans="12:24" ht="11.25" hidden="1" customHeight="1" x14ac:dyDescent="0.15">
      <c r="L12" s="6"/>
      <c r="M12" s="6"/>
      <c r="V12" t="s">
        <v>1748</v>
      </c>
    </row>
    <row r="13" spans="12:24" ht="14.25" customHeight="1" x14ac:dyDescent="0.15">
      <c r="O13" s="6"/>
      <c r="P13" s="6"/>
      <c r="Q13" s="6"/>
      <c r="R13" s="6"/>
      <c r="S13" s="6"/>
      <c r="T13" s="6"/>
      <c r="U13" s="6"/>
      <c r="V13" s="6"/>
    </row>
    <row r="14" spans="12:24" ht="14.25" customHeight="1" x14ac:dyDescent="0.15">
      <c r="L14" s="6" t="s">
        <v>593</v>
      </c>
      <c r="M14" s="6"/>
      <c r="N14" s="6"/>
      <c r="O14" s="6"/>
      <c r="P14" s="6"/>
      <c r="Q14" s="6"/>
      <c r="R14" s="6"/>
      <c r="S14" s="6"/>
      <c r="T14" s="6"/>
      <c r="U14" s="6"/>
      <c r="V14" s="6"/>
      <c r="W14" s="6"/>
      <c r="X14" s="6" t="s">
        <v>594</v>
      </c>
    </row>
    <row r="15" spans="12:24" ht="14.25" customHeight="1" x14ac:dyDescent="0.15">
      <c r="L15" s="6" t="s">
        <v>75</v>
      </c>
      <c r="M15" s="6" t="s">
        <v>1749</v>
      </c>
      <c r="O15" s="6" t="s">
        <v>1814</v>
      </c>
      <c r="P15" s="6"/>
      <c r="Q15" s="6"/>
      <c r="R15" s="6"/>
      <c r="S15" s="6"/>
      <c r="T15" s="6"/>
      <c r="U15" s="6"/>
      <c r="V15" s="6" t="s">
        <v>1751</v>
      </c>
      <c r="W15" s="6" t="s">
        <v>1815</v>
      </c>
      <c r="X15" s="6"/>
    </row>
    <row r="16" spans="12:24" ht="33.75" customHeight="1" x14ac:dyDescent="0.15">
      <c r="L16" s="6"/>
      <c r="M16" s="6"/>
      <c r="O16" s="6" t="s">
        <v>1754</v>
      </c>
      <c r="P16" s="6" t="s">
        <v>1755</v>
      </c>
      <c r="Q16" s="6" t="s">
        <v>1756</v>
      </c>
      <c r="R16" s="6"/>
      <c r="S16" s="6" t="s">
        <v>1775</v>
      </c>
      <c r="T16" s="6"/>
      <c r="U16" s="6"/>
      <c r="V16" s="6"/>
      <c r="W16" s="6"/>
      <c r="X16" s="6"/>
    </row>
    <row r="17" spans="1:27" ht="33.75" customHeight="1" x14ac:dyDescent="0.15">
      <c r="A17" t="s">
        <v>442</v>
      </c>
      <c r="B17" t="s">
        <v>443</v>
      </c>
      <c r="C17" t="s">
        <v>444</v>
      </c>
      <c r="D17" t="s">
        <v>445</v>
      </c>
      <c r="L17" s="6"/>
      <c r="M17" s="6"/>
      <c r="O17" s="6"/>
      <c r="P17" s="6"/>
      <c r="Q17" t="s">
        <v>1765</v>
      </c>
      <c r="R17" t="s">
        <v>1766</v>
      </c>
      <c r="S17" t="s">
        <v>1767</v>
      </c>
      <c r="T17" s="6" t="s">
        <v>1768</v>
      </c>
      <c r="U17" s="6"/>
      <c r="V17" s="6"/>
      <c r="W17" s="6"/>
      <c r="X17" s="6"/>
    </row>
    <row r="18" spans="1:27" ht="11.25" customHeight="1" x14ac:dyDescent="0.15">
      <c r="K18">
        <v>1</v>
      </c>
      <c r="L18" t="s">
        <v>165</v>
      </c>
      <c r="M18" t="s">
        <v>89</v>
      </c>
      <c r="N18" t="str">
        <f ca="1">OFFSET(N18,0,-1)</f>
        <v>2</v>
      </c>
      <c r="O18">
        <f ca="1">OFFSET(O18,0,-1)+1</f>
        <v>3</v>
      </c>
      <c r="Q18">
        <f ca="1">OFFSET(Q18,0,-1)+1</f>
        <v>1</v>
      </c>
      <c r="R18">
        <f ca="1">OFFSET(R18,0,-1)+1</f>
        <v>2</v>
      </c>
      <c r="S18">
        <f ca="1">OFFSET(S18,0,-1)+1</f>
        <v>3</v>
      </c>
      <c r="T18" s="6">
        <f ca="1">OFFSET(T18,0,-1)+1</f>
        <v>4</v>
      </c>
      <c r="U18" s="6"/>
      <c r="V18">
        <f ca="1">OFFSET(V18,0,-2)+1</f>
        <v>5</v>
      </c>
      <c r="W18">
        <f ca="1">OFFSET(W18,0,-1)</f>
        <v>5</v>
      </c>
      <c r="X18">
        <f ca="1">OFFSET(X18,0,-1)+1</f>
        <v>6</v>
      </c>
    </row>
    <row r="19" spans="1:27" ht="21" customHeight="1" x14ac:dyDescent="0.15">
      <c r="A19" t="s">
        <v>1824</v>
      </c>
      <c r="B19" t="s">
        <v>1825</v>
      </c>
      <c r="C19" t="s">
        <v>1826</v>
      </c>
      <c r="D19" t="s">
        <v>1827</v>
      </c>
      <c r="L19" t="e">
        <f>INDEX(PT_DIFFERENTIATION_NUM_NTAR,MATCH(A19,PT_DIFFERENTIATION_NTAR_ID,0))</f>
        <v>#N/A</v>
      </c>
      <c r="M19" t="s">
        <v>431</v>
      </c>
      <c r="O19" s="6" t="e">
        <f>INDEX(PT_DIFFERENTIATION_NTAR,MATCH(A19,PT_DIFFERENTIATION_NTAR_ID,0))</f>
        <v>#N/A</v>
      </c>
      <c r="P19" s="6"/>
      <c r="Q19" s="6"/>
      <c r="R19" s="6"/>
      <c r="S19" s="6"/>
      <c r="T19" s="6"/>
      <c r="U19" s="6"/>
      <c r="V19" s="6"/>
      <c r="W19" s="6"/>
      <c r="X19" t="s">
        <v>1720</v>
      </c>
      <c r="AA19" t="str">
        <f t="shared" ref="AA19:AA32" si="0">IF(M19="","",M19)</f>
        <v>Наименование тарифа</v>
      </c>
    </row>
    <row r="20" spans="1:27" ht="21" customHeight="1" x14ac:dyDescent="0.15">
      <c r="A20" t="s">
        <v>1824</v>
      </c>
      <c r="B20" t="s">
        <v>1825</v>
      </c>
      <c r="C20" t="s">
        <v>1826</v>
      </c>
      <c r="D20" t="s">
        <v>1827</v>
      </c>
      <c r="L20" t="e">
        <f>INDEX(PT_DIFFERENTIATION_NUM_TER,MATCH(B19,PT_DIFFERENTIATION_TER_ID,0))</f>
        <v>#N/A</v>
      </c>
      <c r="M20" t="s">
        <v>1721</v>
      </c>
      <c r="O20" s="6" t="e">
        <f>INDEX(PT_DIFFERENTIATION_TER,MATCH(B19,PT_DIFFERENTIATION_TER_ID,0))</f>
        <v>#N/A</v>
      </c>
      <c r="P20" s="6"/>
      <c r="Q20" s="6"/>
      <c r="R20" s="6"/>
      <c r="S20" s="6"/>
      <c r="T20" s="6"/>
      <c r="U20" s="6"/>
      <c r="V20" s="6"/>
      <c r="W20" s="6"/>
      <c r="X20" t="s">
        <v>1722</v>
      </c>
      <c r="AA20" t="str">
        <f t="shared" si="0"/>
        <v>Территория действия тарифа</v>
      </c>
    </row>
    <row r="21" spans="1:27" ht="22.5" customHeight="1" x14ac:dyDescent="0.15">
      <c r="A21" t="s">
        <v>1824</v>
      </c>
      <c r="B21" t="s">
        <v>1825</v>
      </c>
      <c r="C21" t="s">
        <v>1826</v>
      </c>
      <c r="D21" t="s">
        <v>1827</v>
      </c>
      <c r="L21" t="e">
        <f>INDEX(PT_DIFFERENTIATION_NUM_CS,MATCH(C19,PT_DIFFERENTIATION_CS_ID,0))</f>
        <v>#N/A</v>
      </c>
      <c r="M21" t="s">
        <v>1723</v>
      </c>
      <c r="O21" s="6" t="e">
        <f>INDEX(PT_DIFFERENTIATION_CS,MATCH(C19,PT_DIFFERENTIATION_CS_ID,0))</f>
        <v>#N/A</v>
      </c>
      <c r="P21" s="6"/>
      <c r="Q21" s="6"/>
      <c r="R21" s="6"/>
      <c r="S21" s="6"/>
      <c r="T21" s="6"/>
      <c r="U21" s="6"/>
      <c r="V21" s="6"/>
      <c r="W21" s="6"/>
      <c r="X21" t="s">
        <v>1724</v>
      </c>
      <c r="AA21" t="str">
        <f t="shared" si="0"/>
        <v xml:space="preserve">Наименование системы теплоснабжения </v>
      </c>
    </row>
    <row r="22" spans="1:27" ht="21" customHeight="1" x14ac:dyDescent="0.15">
      <c r="A22" t="s">
        <v>1824</v>
      </c>
      <c r="B22" t="s">
        <v>1825</v>
      </c>
      <c r="C22" t="s">
        <v>1826</v>
      </c>
      <c r="D22" t="s">
        <v>1827</v>
      </c>
      <c r="L22" t="e">
        <f>INDEX(PT_DIFFERENTIATION_NUM_IST_TE,MATCH(D19,PT_DIFFERENTIATION_IST_TE_ID,0))</f>
        <v>#N/A</v>
      </c>
      <c r="M22" t="s">
        <v>1725</v>
      </c>
      <c r="O22" s="6" t="e">
        <f>INDEX(PT_DIFFERENTIATION_IST_TE,MATCH(D19,PT_DIFFERENTIATION_IST_TE_ID,0))</f>
        <v>#N/A</v>
      </c>
      <c r="P22" s="6"/>
      <c r="Q22" s="6"/>
      <c r="R22" s="6"/>
      <c r="S22" s="6"/>
      <c r="T22" s="6"/>
      <c r="U22" s="6"/>
      <c r="V22" s="6"/>
      <c r="W22" s="6"/>
      <c r="X22" t="s">
        <v>1726</v>
      </c>
      <c r="AA22" t="str">
        <f t="shared" si="0"/>
        <v xml:space="preserve">Источник тепловой энергии  </v>
      </c>
    </row>
    <row r="23" spans="1:27" ht="94.5" customHeight="1" x14ac:dyDescent="0.15">
      <c r="A23" t="s">
        <v>1824</v>
      </c>
      <c r="B23" t="s">
        <v>1825</v>
      </c>
      <c r="C23" t="s">
        <v>1826</v>
      </c>
      <c r="D23" t="s">
        <v>1827</v>
      </c>
      <c r="F23" s="6" t="e">
        <f>L22&amp;".1"</f>
        <v>#N/A</v>
      </c>
      <c r="I23" s="6">
        <v>1</v>
      </c>
      <c r="L23" t="e">
        <f>$F$23</f>
        <v>#N/A</v>
      </c>
      <c r="M23" t="s">
        <v>1728</v>
      </c>
      <c r="O23" s="6"/>
      <c r="P23" s="6"/>
      <c r="Q23" s="6"/>
      <c r="R23" s="6"/>
      <c r="S23" s="6"/>
      <c r="T23" s="6"/>
      <c r="U23" s="6"/>
      <c r="V23" s="6"/>
      <c r="W23" s="6"/>
      <c r="X23" t="s">
        <v>1729</v>
      </c>
      <c r="AA23" t="str">
        <f t="shared" si="0"/>
        <v>Схема подключения теплопотребляющей установки к коллектору источника тепловой энергии</v>
      </c>
    </row>
    <row r="24" spans="1:27" ht="84" customHeight="1" x14ac:dyDescent="0.15">
      <c r="A24" t="s">
        <v>1824</v>
      </c>
      <c r="B24" t="s">
        <v>1825</v>
      </c>
      <c r="C24" t="s">
        <v>1826</v>
      </c>
      <c r="D24" t="s">
        <v>1827</v>
      </c>
      <c r="F24" s="6"/>
      <c r="G24" s="6" t="e">
        <f>F23&amp;".1"</f>
        <v>#N/A</v>
      </c>
      <c r="I24" s="6"/>
      <c r="J24" s="6">
        <v>1</v>
      </c>
      <c r="L24" t="e">
        <f>$G$24</f>
        <v>#N/A</v>
      </c>
      <c r="M24" t="s">
        <v>1731</v>
      </c>
      <c r="O24" s="6"/>
      <c r="P24" s="6"/>
      <c r="Q24" s="6"/>
      <c r="R24" s="6"/>
      <c r="S24" s="6"/>
      <c r="T24" s="6"/>
      <c r="U24" s="6"/>
      <c r="V24" s="6"/>
      <c r="W24" s="6"/>
      <c r="X24" t="s">
        <v>1732</v>
      </c>
      <c r="AA24" t="str">
        <f t="shared" si="0"/>
        <v>Группа потребителей</v>
      </c>
    </row>
    <row r="25" spans="1:27" ht="11.25" customHeight="1" x14ac:dyDescent="0.15">
      <c r="A25" t="s">
        <v>1824</v>
      </c>
      <c r="B25" t="s">
        <v>1825</v>
      </c>
      <c r="C25" t="s">
        <v>1826</v>
      </c>
      <c r="D25" t="s">
        <v>1827</v>
      </c>
      <c r="F25" s="6"/>
      <c r="G25" s="6"/>
      <c r="H25" s="6" t="e">
        <f>G24&amp;".1"</f>
        <v>#N/A</v>
      </c>
      <c r="I25" s="6"/>
      <c r="J25" s="6"/>
      <c r="K25">
        <v>1</v>
      </c>
      <c r="L25" t="e">
        <f>$H$25</f>
        <v>#N/A</v>
      </c>
      <c r="S25" s="6"/>
      <c r="T25" s="6" t="s">
        <v>50</v>
      </c>
      <c r="U25" s="6"/>
      <c r="V25" s="6" t="s">
        <v>43</v>
      </c>
      <c r="X25" s="6" t="s">
        <v>1734</v>
      </c>
      <c r="Y25" t="e">
        <f ca="1">STRCHECKDATE(O26:W26)</f>
        <v>#NAME?</v>
      </c>
      <c r="AA25" t="str">
        <f t="shared" si="0"/>
        <v/>
      </c>
    </row>
    <row r="26" spans="1:27" ht="11.25" customHeight="1" x14ac:dyDescent="0.15">
      <c r="A26" t="s">
        <v>1824</v>
      </c>
      <c r="B26" t="s">
        <v>1825</v>
      </c>
      <c r="C26" t="s">
        <v>1826</v>
      </c>
      <c r="D26" t="s">
        <v>1827</v>
      </c>
      <c r="F26" s="6"/>
      <c r="G26" s="6"/>
      <c r="H26" s="6"/>
      <c r="I26" s="6"/>
      <c r="J26" s="6"/>
      <c r="R26" t="str">
        <f>S25&amp;"-"&amp;U25</f>
        <v>-</v>
      </c>
      <c r="S26" s="6"/>
      <c r="T26" s="6"/>
      <c r="U26" s="6"/>
      <c r="V26" s="6"/>
      <c r="X26" s="6"/>
      <c r="AA26" t="str">
        <f t="shared" si="0"/>
        <v/>
      </c>
    </row>
    <row r="27" spans="1:27" ht="15" customHeight="1" x14ac:dyDescent="0.15">
      <c r="A27" t="s">
        <v>1824</v>
      </c>
      <c r="B27" t="s">
        <v>1825</v>
      </c>
      <c r="C27" t="s">
        <v>1826</v>
      </c>
      <c r="D27" t="s">
        <v>1827</v>
      </c>
      <c r="F27" s="6"/>
      <c r="G27" s="6"/>
      <c r="I27" s="6"/>
      <c r="J27" s="6"/>
      <c r="M27" t="s">
        <v>1735</v>
      </c>
      <c r="X27" s="6"/>
      <c r="AA27" t="str">
        <f t="shared" si="0"/>
        <v>Добавить вид теплоносителя (параметры теплоносителя)</v>
      </c>
    </row>
    <row r="28" spans="1:27" ht="15" customHeight="1" x14ac:dyDescent="0.15">
      <c r="A28" t="s">
        <v>1824</v>
      </c>
      <c r="B28" t="s">
        <v>1825</v>
      </c>
      <c r="C28" t="s">
        <v>1826</v>
      </c>
      <c r="D28" t="s">
        <v>1827</v>
      </c>
      <c r="F28" s="6"/>
      <c r="I28" s="6"/>
      <c r="M28" t="s">
        <v>1736</v>
      </c>
      <c r="AA28" t="str">
        <f t="shared" si="0"/>
        <v>Добавить группу потребителей</v>
      </c>
    </row>
    <row r="29" spans="1:27" ht="14.25" customHeight="1" x14ac:dyDescent="0.15">
      <c r="A29" t="s">
        <v>1824</v>
      </c>
      <c r="B29" t="s">
        <v>1825</v>
      </c>
      <c r="C29" t="s">
        <v>1826</v>
      </c>
      <c r="D29" t="s">
        <v>1827</v>
      </c>
      <c r="M29" t="s">
        <v>1737</v>
      </c>
      <c r="AA29" t="str">
        <f t="shared" si="0"/>
        <v>Добавить схему подключения</v>
      </c>
    </row>
    <row r="30" spans="1:27" ht="14.25" customHeight="1" x14ac:dyDescent="0.15">
      <c r="A30" t="s">
        <v>1824</v>
      </c>
      <c r="B30" t="s">
        <v>1825</v>
      </c>
      <c r="C30" t="s">
        <v>1826</v>
      </c>
      <c r="E30" t="s">
        <v>1816</v>
      </c>
      <c r="AA30" t="str">
        <f t="shared" si="0"/>
        <v/>
      </c>
    </row>
    <row r="31" spans="1:27" ht="14.25" customHeight="1" x14ac:dyDescent="0.15">
      <c r="A31" t="s">
        <v>1824</v>
      </c>
      <c r="B31" t="s">
        <v>1825</v>
      </c>
      <c r="E31" t="s">
        <v>1817</v>
      </c>
      <c r="AA31" t="str">
        <f t="shared" si="0"/>
        <v/>
      </c>
    </row>
    <row r="32" spans="1:27" ht="14.25" customHeight="1" x14ac:dyDescent="0.15">
      <c r="A32" t="s">
        <v>1828</v>
      </c>
      <c r="E32" t="s">
        <v>354</v>
      </c>
      <c r="AA32" t="str">
        <f t="shared" si="0"/>
        <v/>
      </c>
    </row>
    <row r="33" spans="5:24" ht="11.25" customHeight="1" x14ac:dyDescent="0.15">
      <c r="E33" t="s">
        <v>1699</v>
      </c>
    </row>
    <row r="34" spans="5:24" ht="11.25" customHeight="1" x14ac:dyDescent="0.15"/>
    <row r="35" spans="5:24" ht="27" customHeight="1" x14ac:dyDescent="0.15">
      <c r="L35" t="s">
        <v>1769</v>
      </c>
      <c r="M35" s="6" t="s">
        <v>1776</v>
      </c>
      <c r="N35" s="6"/>
      <c r="O35" s="6"/>
      <c r="P35" s="6"/>
      <c r="Q35" s="6"/>
      <c r="R35" s="6"/>
      <c r="S35" s="6"/>
      <c r="T35" s="6"/>
      <c r="U35" s="6"/>
      <c r="V35" s="6"/>
      <c r="W35" s="6"/>
      <c r="X35" s="6"/>
    </row>
    <row r="36" spans="5:24" ht="104.25" customHeight="1" x14ac:dyDescent="0.15">
      <c r="M36" s="6" t="s">
        <v>1771</v>
      </c>
      <c r="N36" s="6"/>
      <c r="O36" s="6"/>
      <c r="P36" s="6"/>
      <c r="Q36" s="6"/>
      <c r="R36" s="6"/>
      <c r="S36" s="6"/>
      <c r="T36" s="6"/>
      <c r="U36" s="6"/>
      <c r="V36" s="6"/>
      <c r="W36" s="6"/>
      <c r="X36" s="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31"/>
  <sheetViews>
    <sheetView showGridLines="0" topLeftCell="A4" workbookViewId="0"/>
  </sheetViews>
  <sheetFormatPr defaultColWidth="10.5703125" defaultRowHeight="14.25" customHeight="1" x14ac:dyDescent="0.15"/>
  <cols>
    <col min="7" max="8" width="9.140625" customWidth="1"/>
    <col min="9" max="11" width="3.7109375" customWidth="1"/>
    <col min="12" max="12" width="12.7109375" customWidth="1"/>
    <col min="13" max="13" width="47.42578125" customWidth="1"/>
    <col min="14" max="14" width="2.7109375" hidden="1" customWidth="1"/>
    <col min="15" max="18" width="23.7109375" customWidth="1"/>
    <col min="19" max="19" width="11.7109375" customWidth="1"/>
    <col min="20" max="20" width="3.7109375" customWidth="1"/>
    <col min="21" max="21" width="11.7109375" customWidth="1"/>
    <col min="22" max="22" width="8.5703125" hidden="1" customWidth="1"/>
    <col min="23" max="23" width="4.7109375" customWidth="1"/>
    <col min="24" max="24" width="115.7109375" customWidth="1"/>
  </cols>
  <sheetData>
    <row r="1" spans="12:24" ht="14.25" hidden="1" customHeight="1" x14ac:dyDescent="0.15"/>
    <row r="2" spans="12:24" ht="14.25" hidden="1" customHeight="1" x14ac:dyDescent="0.15"/>
    <row r="3" spans="12:24" ht="14.25" hidden="1" customHeight="1" x14ac:dyDescent="0.15"/>
    <row r="5" spans="12:24" ht="14.25" customHeight="1" x14ac:dyDescent="0.2">
      <c r="L5" s="6" t="s">
        <v>1829</v>
      </c>
      <c r="M5" s="6"/>
      <c r="N5" s="6"/>
      <c r="O5" s="6"/>
      <c r="P5" s="6"/>
      <c r="Q5" s="6"/>
      <c r="R5" s="6"/>
      <c r="S5" s="6"/>
      <c r="T5" s="6"/>
    </row>
    <row r="7" spans="12:24" ht="22.5" customHeight="1" x14ac:dyDescent="0.15">
      <c r="M7" t="s">
        <v>25</v>
      </c>
      <c r="O7" s="6" t="e">
        <f>IF(NameOrPr_ch="",IF(NameOrPr="","",NameOrPr),NameOrPr_ch)</f>
        <v>#NAME?</v>
      </c>
      <c r="P7" s="6"/>
      <c r="Q7" s="6"/>
      <c r="R7" s="6"/>
      <c r="S7" s="6"/>
      <c r="T7" s="6"/>
    </row>
    <row r="8" spans="12:24" ht="18.75" customHeight="1" x14ac:dyDescent="0.15">
      <c r="M8" t="s">
        <v>1744</v>
      </c>
      <c r="O8" s="6" t="e">
        <f>IF(datePr_ch="",IF(datePr="","",datePr),datePr_ch)</f>
        <v>#NAME?</v>
      </c>
      <c r="P8" s="6"/>
      <c r="Q8" s="6"/>
      <c r="R8" s="6"/>
      <c r="S8" s="6"/>
      <c r="T8" s="6"/>
    </row>
    <row r="9" spans="12:24" ht="18.75" customHeight="1" x14ac:dyDescent="0.15">
      <c r="M9" t="s">
        <v>1745</v>
      </c>
      <c r="O9" s="6" t="e">
        <f>IF(numberPr_ch="",IF(numberPr="","",numberPr),numberPr_ch)</f>
        <v>#NAME?</v>
      </c>
      <c r="P9" s="6"/>
      <c r="Q9" s="6"/>
      <c r="R9" s="6"/>
      <c r="S9" s="6"/>
      <c r="T9" s="6"/>
    </row>
    <row r="10" spans="12:24" ht="18.75" customHeight="1" x14ac:dyDescent="0.15">
      <c r="M10" t="s">
        <v>26</v>
      </c>
      <c r="O10" s="6" t="e">
        <f>IF(IstPub_ch="",IF(IstPub="","",IstPub),IstPub_ch)</f>
        <v>#NAME?</v>
      </c>
      <c r="P10" s="6"/>
      <c r="Q10" s="6"/>
      <c r="R10" s="6"/>
      <c r="S10" s="6"/>
      <c r="T10" s="6"/>
    </row>
    <row r="11" spans="12:24" ht="18.75" hidden="1" customHeight="1" x14ac:dyDescent="0.15">
      <c r="Q11" t="s">
        <v>1830</v>
      </c>
      <c r="R11" t="s">
        <v>1831</v>
      </c>
    </row>
    <row r="12" spans="12:24" ht="11.25" hidden="1" customHeight="1" x14ac:dyDescent="0.15">
      <c r="L12" s="6"/>
      <c r="M12" s="6"/>
      <c r="V12" t="s">
        <v>1748</v>
      </c>
    </row>
    <row r="13" spans="12:24" ht="14.25" customHeight="1" x14ac:dyDescent="0.15">
      <c r="Q13" s="6"/>
      <c r="R13" s="6"/>
      <c r="S13" s="6"/>
      <c r="T13" s="6"/>
      <c r="U13" s="6"/>
      <c r="V13" s="6"/>
    </row>
    <row r="14" spans="12:24" ht="14.25" customHeight="1" x14ac:dyDescent="0.15">
      <c r="L14" s="6" t="s">
        <v>593</v>
      </c>
      <c r="M14" s="6"/>
      <c r="N14" s="6"/>
      <c r="O14" s="6"/>
      <c r="P14" s="6"/>
      <c r="Q14" s="6"/>
      <c r="R14" s="6"/>
      <c r="S14" s="6"/>
      <c r="T14" s="6"/>
      <c r="U14" s="6"/>
      <c r="V14" s="6"/>
      <c r="W14" s="6"/>
      <c r="X14" s="6" t="s">
        <v>594</v>
      </c>
    </row>
    <row r="15" spans="12:24" ht="14.25" customHeight="1" x14ac:dyDescent="0.15">
      <c r="L15" s="6" t="s">
        <v>75</v>
      </c>
      <c r="M15" s="6" t="s">
        <v>1832</v>
      </c>
      <c r="O15" s="6" t="s">
        <v>1833</v>
      </c>
      <c r="P15" s="6" t="s">
        <v>1834</v>
      </c>
      <c r="Q15" s="6" t="s">
        <v>1814</v>
      </c>
      <c r="R15" s="6"/>
      <c r="S15" s="6"/>
      <c r="T15" s="6"/>
      <c r="U15" s="6"/>
      <c r="V15" s="6" t="s">
        <v>1751</v>
      </c>
      <c r="W15" s="6" t="s">
        <v>1815</v>
      </c>
      <c r="X15" s="6"/>
    </row>
    <row r="16" spans="12:24" ht="25.5" customHeight="1" x14ac:dyDescent="0.15">
      <c r="L16" s="6"/>
      <c r="M16" s="6"/>
      <c r="O16" s="6"/>
      <c r="P16" s="6"/>
      <c r="Q16" s="6" t="s">
        <v>1835</v>
      </c>
      <c r="R16" s="6"/>
      <c r="S16" s="6" t="s">
        <v>1775</v>
      </c>
      <c r="T16" s="6"/>
      <c r="U16" s="6"/>
      <c r="V16" s="6"/>
      <c r="W16" s="6"/>
      <c r="X16" s="6"/>
    </row>
    <row r="17" spans="1:25" ht="14.25" customHeight="1" x14ac:dyDescent="0.15">
      <c r="L17" s="6"/>
      <c r="M17" s="6"/>
      <c r="O17" s="6"/>
      <c r="P17" s="6"/>
      <c r="Q17" t="s">
        <v>1810</v>
      </c>
      <c r="R17" t="s">
        <v>1811</v>
      </c>
      <c r="S17" t="s">
        <v>1767</v>
      </c>
      <c r="T17" s="6" t="s">
        <v>1768</v>
      </c>
      <c r="U17" s="6"/>
      <c r="V17" s="6"/>
      <c r="W17" s="6"/>
      <c r="X17" s="6"/>
    </row>
    <row r="18" spans="1:25" ht="14.25" customHeight="1" x14ac:dyDescent="0.15">
      <c r="K18">
        <v>1</v>
      </c>
      <c r="L18" t="s">
        <v>165</v>
      </c>
      <c r="M18" t="s">
        <v>89</v>
      </c>
      <c r="N18" t="s">
        <v>89</v>
      </c>
      <c r="O18">
        <f t="shared" ref="O18:T18" ca="1" si="0">OFFSET(O18,0,-1)+1</f>
        <v>3</v>
      </c>
      <c r="P18">
        <f t="shared" ca="1" si="0"/>
        <v>4</v>
      </c>
      <c r="Q18">
        <f t="shared" ca="1" si="0"/>
        <v>5</v>
      </c>
      <c r="R18">
        <f t="shared" ca="1" si="0"/>
        <v>6</v>
      </c>
      <c r="S18">
        <f t="shared" ca="1" si="0"/>
        <v>7</v>
      </c>
      <c r="T18" s="6">
        <f t="shared" ca="1" si="0"/>
        <v>8</v>
      </c>
      <c r="U18" s="6"/>
      <c r="V18">
        <f ca="1">OFFSET(V18,0,-2)+1</f>
        <v>9</v>
      </c>
      <c r="X18">
        <f ca="1">OFFSET(X18,0,-2)+1</f>
        <v>10</v>
      </c>
    </row>
    <row r="19" spans="1:25" ht="22.5" customHeight="1" x14ac:dyDescent="0.15">
      <c r="A19" s="6">
        <v>1</v>
      </c>
      <c r="L19" t="e">
        <f ca="1">MERGEVALUE(A19)</f>
        <v>#NAME?</v>
      </c>
      <c r="M19" t="s">
        <v>431</v>
      </c>
      <c r="O19" s="6"/>
      <c r="P19" s="6"/>
      <c r="Q19" s="6"/>
      <c r="R19" s="6"/>
      <c r="S19" s="6"/>
      <c r="T19" s="6"/>
      <c r="U19" s="6"/>
      <c r="V19" s="6"/>
      <c r="W19" s="6"/>
      <c r="X19" t="s">
        <v>1720</v>
      </c>
    </row>
    <row r="20" spans="1:25" ht="22.5" customHeight="1" x14ac:dyDescent="0.15">
      <c r="A20" s="6"/>
      <c r="B20" s="6">
        <v>1</v>
      </c>
      <c r="L20" t="e">
        <f ca="1">MERGEVALUE(A20)&amp;"."&amp;MERGEVALUE(B20)</f>
        <v>#NAME?</v>
      </c>
      <c r="M20" t="s">
        <v>1721</v>
      </c>
      <c r="O20" s="6"/>
      <c r="P20" s="6"/>
      <c r="Q20" s="6"/>
      <c r="R20" s="6"/>
      <c r="S20" s="6"/>
      <c r="T20" s="6"/>
      <c r="U20" s="6"/>
      <c r="V20" s="6"/>
      <c r="W20" s="6"/>
      <c r="X20" t="s">
        <v>1722</v>
      </c>
    </row>
    <row r="21" spans="1:25" ht="22.5" customHeight="1" x14ac:dyDescent="0.15">
      <c r="A21" s="6"/>
      <c r="B21" s="6"/>
      <c r="C21" s="6">
        <v>1</v>
      </c>
      <c r="L21" t="e">
        <f ca="1">MERGEVALUE(A21)&amp;"."&amp;MERGEVALUE(B21)&amp;"."&amp;MERGEVALUE(C21)</f>
        <v>#NAME?</v>
      </c>
      <c r="M21" t="s">
        <v>1723</v>
      </c>
      <c r="O21" s="6"/>
      <c r="P21" s="6"/>
      <c r="Q21" s="6"/>
      <c r="R21" s="6"/>
      <c r="S21" s="6"/>
      <c r="T21" s="6"/>
      <c r="U21" s="6"/>
      <c r="V21" s="6"/>
      <c r="W21" s="6"/>
      <c r="X21" t="s">
        <v>1724</v>
      </c>
    </row>
    <row r="22" spans="1:25" ht="14.25" customHeight="1" x14ac:dyDescent="0.15">
      <c r="A22" s="6"/>
      <c r="B22" s="6"/>
      <c r="C22" s="6"/>
      <c r="D22" s="6">
        <v>1</v>
      </c>
      <c r="L22" t="e">
        <f ca="1">MERGEVALUE(A22)&amp;"."&amp;MERGEVALUE(B22)&amp;"."&amp;MERGEVALUE(C22)&amp;"."&amp;MERGEVALUE(D22)</f>
        <v>#NAME?</v>
      </c>
      <c r="M22" t="s">
        <v>1725</v>
      </c>
      <c r="O22" s="6"/>
      <c r="P22" s="6"/>
      <c r="Q22" s="6"/>
      <c r="R22" s="6"/>
      <c r="S22" s="6"/>
      <c r="T22" s="6"/>
      <c r="U22" s="6"/>
      <c r="V22" s="6"/>
      <c r="W22" s="6"/>
      <c r="X22" t="s">
        <v>1836</v>
      </c>
    </row>
    <row r="23" spans="1:25" ht="22.5" customHeight="1" x14ac:dyDescent="0.15">
      <c r="A23" s="6"/>
      <c r="B23" s="6"/>
      <c r="C23" s="6"/>
      <c r="D23" s="6"/>
      <c r="E23">
        <v>1</v>
      </c>
      <c r="L23" t="e">
        <f ca="1">MERGEVALUE(A23)&amp;"."&amp;MERGEVALUE(B23)&amp;"."&amp;MERGEVALUE(C23)&amp;"."&amp;MERGEVALUE(D23)&amp;"."&amp;MERGEVALUE(E23)</f>
        <v>#NAME?</v>
      </c>
      <c r="T23" t="s">
        <v>43</v>
      </c>
      <c r="V23" t="s">
        <v>43</v>
      </c>
      <c r="X23" s="6" t="s">
        <v>1837</v>
      </c>
      <c r="Y23" t="e">
        <f ca="1">STRCHECKDATETWO(N23:W23)</f>
        <v>#NAME?</v>
      </c>
    </row>
    <row r="24" spans="1:25" ht="14.25" hidden="1" customHeight="1" x14ac:dyDescent="0.15">
      <c r="A24" s="6"/>
      <c r="B24" s="6"/>
      <c r="C24" s="6"/>
      <c r="D24" s="6"/>
      <c r="R24" t="str">
        <f>S23&amp;"-"&amp;U23</f>
        <v>-</v>
      </c>
      <c r="X24" s="6"/>
    </row>
    <row r="25" spans="1:25" ht="14.25" customHeight="1" x14ac:dyDescent="0.15">
      <c r="A25" s="6"/>
      <c r="B25" s="6"/>
      <c r="C25" s="6"/>
      <c r="D25" s="6"/>
      <c r="M25" t="s">
        <v>1801</v>
      </c>
      <c r="X25" s="6"/>
    </row>
    <row r="26" spans="1:25" ht="14.25" customHeight="1" x14ac:dyDescent="0.15">
      <c r="A26" s="6"/>
      <c r="B26" s="6"/>
      <c r="C26" s="6"/>
      <c r="M26" t="s">
        <v>1816</v>
      </c>
    </row>
    <row r="27" spans="1:25" ht="14.25" customHeight="1" x14ac:dyDescent="0.15">
      <c r="A27" s="6"/>
      <c r="B27" s="6"/>
      <c r="M27" t="s">
        <v>1817</v>
      </c>
    </row>
    <row r="28" spans="1:25" ht="14.25" customHeight="1" x14ac:dyDescent="0.15">
      <c r="A28" s="6"/>
      <c r="M28" t="s">
        <v>354</v>
      </c>
    </row>
    <row r="29" spans="1:25" ht="14.25" customHeight="1" x14ac:dyDescent="0.15">
      <c r="M29" t="s">
        <v>1699</v>
      </c>
    </row>
    <row r="31" spans="1:25" ht="14.25" customHeight="1" x14ac:dyDescent="0.15">
      <c r="L31">
        <v>1</v>
      </c>
      <c r="M31" s="6" t="s">
        <v>1838</v>
      </c>
      <c r="N31" s="6"/>
      <c r="O31" s="6"/>
      <c r="P31" s="6"/>
      <c r="Q31" s="6"/>
      <c r="R31" s="6"/>
      <c r="S31" s="6"/>
      <c r="T31" s="6"/>
      <c r="U31" s="6"/>
      <c r="V31" s="6"/>
      <c r="W31" s="6"/>
      <c r="X31" s="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x14ac:dyDescent="0.15"/>
  <cols>
    <col min="1" max="2" width="9.140625" hidden="1" customWidth="1"/>
    <col min="3" max="3" width="3.7109375" customWidth="1"/>
    <col min="4" max="4" width="6.28515625" customWidth="1"/>
    <col min="5" max="5" width="63.42578125" customWidth="1"/>
    <col min="6" max="6" width="1.7109375" hidden="1" customWidth="1"/>
    <col min="7" max="8" width="35.7109375" customWidth="1"/>
    <col min="9" max="9" width="91.5703125" customWidth="1"/>
    <col min="10" max="10" width="68.85546875" customWidth="1"/>
  </cols>
  <sheetData>
    <row r="1" spans="3:12" ht="14.25" hidden="1" customHeight="1" x14ac:dyDescent="0.15"/>
    <row r="2" spans="3:12" ht="18.75" hidden="1" customHeight="1" x14ac:dyDescent="0.15">
      <c r="C2" t="s">
        <v>90</v>
      </c>
      <c r="G2" t="s">
        <v>599</v>
      </c>
    </row>
    <row r="3" spans="3:12" ht="14.25" hidden="1" customHeight="1" x14ac:dyDescent="0.15"/>
    <row r="4" spans="3:12" ht="18.75" hidden="1" customHeight="1" x14ac:dyDescent="0.15">
      <c r="C4" t="s">
        <v>90</v>
      </c>
      <c r="E4" t="s">
        <v>1839</v>
      </c>
      <c r="H4" t="s">
        <v>599</v>
      </c>
    </row>
    <row r="5" spans="3:12" ht="14.25" hidden="1" customHeight="1" x14ac:dyDescent="0.15"/>
    <row r="6" spans="3:12" ht="18.75" hidden="1" customHeight="1" x14ac:dyDescent="0.15">
      <c r="C6" t="s">
        <v>90</v>
      </c>
      <c r="E6" t="s">
        <v>1840</v>
      </c>
      <c r="H6" t="s">
        <v>599</v>
      </c>
    </row>
    <row r="7" spans="3:12" ht="14.25" hidden="1" customHeight="1" x14ac:dyDescent="0.15"/>
    <row r="8" spans="3:12" ht="18.75" hidden="1" customHeight="1" x14ac:dyDescent="0.15">
      <c r="C8" t="s">
        <v>90</v>
      </c>
      <c r="E8" t="s">
        <v>1841</v>
      </c>
      <c r="H8" t="s">
        <v>599</v>
      </c>
    </row>
    <row r="9" spans="3:12" ht="14.25" hidden="1" customHeight="1" x14ac:dyDescent="0.15"/>
    <row r="10" spans="3:12" ht="18.75" hidden="1" customHeight="1" x14ac:dyDescent="0.15">
      <c r="C10" t="s">
        <v>90</v>
      </c>
      <c r="E10" t="s">
        <v>1842</v>
      </c>
      <c r="H10" t="s">
        <v>599</v>
      </c>
      <c r="L10" t="s">
        <v>1843</v>
      </c>
    </row>
    <row r="11" spans="3:12" ht="14.25" hidden="1" customHeight="1" x14ac:dyDescent="0.15"/>
    <row r="12" spans="3:12" ht="14.25" hidden="1" customHeight="1" x14ac:dyDescent="0.15"/>
    <row r="14" spans="3:12" ht="30" customHeight="1" x14ac:dyDescent="0.15">
      <c r="D14" s="6"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6"/>
      <c r="F14" s="6"/>
      <c r="G14" s="6"/>
      <c r="H14" s="6"/>
    </row>
    <row r="15" spans="3:12" ht="14.25" customHeight="1" x14ac:dyDescent="0.15">
      <c r="D15" s="6" t="str">
        <f>IF(org=0,"Не определено",org)</f>
        <v>КГУП "Примтеплоэнерго"</v>
      </c>
      <c r="E15" s="6"/>
      <c r="F15" s="6"/>
      <c r="G15" s="6"/>
      <c r="H15" s="6"/>
    </row>
    <row r="17" spans="1:9" ht="14.25" hidden="1" customHeight="1" x14ac:dyDescent="0.15"/>
    <row r="18" spans="1:9" ht="21" customHeight="1" x14ac:dyDescent="0.15">
      <c r="D18" s="6" t="s">
        <v>593</v>
      </c>
      <c r="E18" s="6"/>
      <c r="F18" s="6"/>
      <c r="G18" s="6"/>
      <c r="H18" s="6"/>
      <c r="I18" s="6" t="s">
        <v>594</v>
      </c>
    </row>
    <row r="19" spans="1:9" ht="21" customHeight="1" x14ac:dyDescent="0.15">
      <c r="D19" t="s">
        <v>75</v>
      </c>
      <c r="E19" t="s">
        <v>595</v>
      </c>
      <c r="G19" t="s">
        <v>596</v>
      </c>
      <c r="H19" t="s">
        <v>685</v>
      </c>
      <c r="I19" s="6"/>
    </row>
    <row r="20" spans="1:9" ht="12" customHeight="1" x14ac:dyDescent="0.15">
      <c r="D20" t="s">
        <v>165</v>
      </c>
      <c r="E20" t="s">
        <v>89</v>
      </c>
      <c r="G20" t="s">
        <v>77</v>
      </c>
      <c r="H20" t="s">
        <v>78</v>
      </c>
      <c r="I20" t="s">
        <v>100</v>
      </c>
    </row>
    <row r="21" spans="1:9" ht="14.25" customHeight="1" x14ac:dyDescent="0.15">
      <c r="D21">
        <v>1</v>
      </c>
      <c r="E21" s="6" t="s">
        <v>1844</v>
      </c>
      <c r="F21" s="6"/>
      <c r="G21" s="6"/>
      <c r="H21" s="6"/>
    </row>
    <row r="22" spans="1:9" ht="20.25" customHeight="1" x14ac:dyDescent="0.15">
      <c r="D22" t="s">
        <v>914</v>
      </c>
      <c r="E22" t="s">
        <v>1845</v>
      </c>
      <c r="H22" t="s">
        <v>599</v>
      </c>
      <c r="I22" t="s">
        <v>1846</v>
      </c>
    </row>
    <row r="23" spans="1:9" ht="45" customHeight="1" x14ac:dyDescent="0.15">
      <c r="D23" t="s">
        <v>920</v>
      </c>
      <c r="E23" t="s">
        <v>1847</v>
      </c>
      <c r="I23" t="s">
        <v>1848</v>
      </c>
    </row>
    <row r="24" spans="1:9" ht="14.25" customHeight="1" x14ac:dyDescent="0.15">
      <c r="B24">
        <v>3</v>
      </c>
      <c r="D24">
        <v>2</v>
      </c>
      <c r="E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G24" t="s">
        <v>599</v>
      </c>
      <c r="I24" t="s">
        <v>1004</v>
      </c>
    </row>
    <row r="25" spans="1:9" ht="46.5" customHeight="1" x14ac:dyDescent="0.15">
      <c r="D25">
        <v>3</v>
      </c>
      <c r="E25" s="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6"/>
      <c r="G25" s="6"/>
      <c r="H25" s="6"/>
    </row>
    <row r="26" spans="1:9" ht="14.25" customHeight="1" x14ac:dyDescent="0.15">
      <c r="D26" t="s">
        <v>619</v>
      </c>
      <c r="G26" t="s">
        <v>599</v>
      </c>
      <c r="I26" s="6" t="s">
        <v>1849</v>
      </c>
    </row>
    <row r="27" spans="1:9" ht="15" customHeight="1" x14ac:dyDescent="0.15">
      <c r="A27" t="s">
        <v>165</v>
      </c>
      <c r="E27" t="s">
        <v>1714</v>
      </c>
      <c r="I27" s="6"/>
    </row>
    <row r="28" spans="1:9" ht="38.25" customHeight="1" x14ac:dyDescent="0.15">
      <c r="B28">
        <v>3</v>
      </c>
      <c r="D28">
        <v>4</v>
      </c>
      <c r="E28" s="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6"/>
      <c r="G28" s="6"/>
      <c r="H28" s="6"/>
    </row>
    <row r="29" spans="1:9" ht="20.25" customHeight="1" x14ac:dyDescent="0.15">
      <c r="D29" t="s">
        <v>907</v>
      </c>
      <c r="E29" t="s">
        <v>1839</v>
      </c>
      <c r="H29" t="s">
        <v>599</v>
      </c>
      <c r="I29" s="6" t="s">
        <v>1850</v>
      </c>
    </row>
    <row r="30" spans="1:9" ht="15" customHeight="1" x14ac:dyDescent="0.15">
      <c r="A30" t="s">
        <v>89</v>
      </c>
      <c r="E30" t="s">
        <v>1714</v>
      </c>
      <c r="I30" s="6"/>
    </row>
    <row r="31" spans="1:9" ht="30" customHeight="1" x14ac:dyDescent="0.15">
      <c r="B31">
        <v>3</v>
      </c>
      <c r="D31">
        <v>5</v>
      </c>
      <c r="E31" s="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6"/>
      <c r="G31" s="6"/>
      <c r="H31" s="6"/>
    </row>
    <row r="32" spans="1:9" ht="26.25" customHeight="1" x14ac:dyDescent="0.15">
      <c r="D32" t="s">
        <v>608</v>
      </c>
      <c r="E32" s="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6"/>
      <c r="G32" s="6"/>
      <c r="H32" s="6"/>
    </row>
    <row r="33" spans="1:12" ht="14.25" customHeight="1" x14ac:dyDescent="0.15">
      <c r="D33" t="s">
        <v>915</v>
      </c>
      <c r="E33" t="s">
        <v>1840</v>
      </c>
      <c r="H33" t="s">
        <v>599</v>
      </c>
      <c r="I33" s="6" t="s">
        <v>1851</v>
      </c>
    </row>
    <row r="34" spans="1:12" ht="15" customHeight="1" x14ac:dyDescent="0.15">
      <c r="A34" t="s">
        <v>77</v>
      </c>
      <c r="E34" t="s">
        <v>1714</v>
      </c>
      <c r="I34" s="6"/>
    </row>
    <row r="35" spans="1:12" ht="24" customHeight="1" x14ac:dyDescent="0.15">
      <c r="D35" t="s">
        <v>610</v>
      </c>
      <c r="E35" s="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6"/>
      <c r="G35" s="6"/>
      <c r="H35" s="6"/>
    </row>
    <row r="36" spans="1:12" ht="14.25" customHeight="1" x14ac:dyDescent="0.15">
      <c r="D36" t="s">
        <v>1852</v>
      </c>
      <c r="E36" t="s">
        <v>1841</v>
      </c>
      <c r="H36" t="s">
        <v>599</v>
      </c>
      <c r="I36" s="6" t="s">
        <v>1853</v>
      </c>
    </row>
    <row r="37" spans="1:12" ht="15" customHeight="1" x14ac:dyDescent="0.15">
      <c r="A37" t="s">
        <v>78</v>
      </c>
      <c r="E37" t="s">
        <v>1714</v>
      </c>
      <c r="I37" s="6"/>
    </row>
    <row r="38" spans="1:12" ht="26.25" customHeight="1" x14ac:dyDescent="0.15">
      <c r="D38" t="s">
        <v>613</v>
      </c>
      <c r="E38" s="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6"/>
      <c r="G38" s="6"/>
      <c r="H38" s="6"/>
    </row>
    <row r="39" spans="1:12" ht="14.25" customHeight="1" x14ac:dyDescent="0.15">
      <c r="D39" t="s">
        <v>1854</v>
      </c>
      <c r="E39" t="s">
        <v>1842</v>
      </c>
      <c r="H39" t="s">
        <v>599</v>
      </c>
      <c r="I39" s="6" t="s">
        <v>1855</v>
      </c>
      <c r="L39" t="s">
        <v>1843</v>
      </c>
    </row>
    <row r="40" spans="1:12" ht="15" customHeight="1" x14ac:dyDescent="0.15">
      <c r="A40" t="s">
        <v>100</v>
      </c>
      <c r="E40" t="s">
        <v>1714</v>
      </c>
      <c r="I40" s="6"/>
    </row>
    <row r="41" spans="1:12" ht="3" customHeight="1" x14ac:dyDescent="0.15"/>
    <row r="42" spans="1:12" ht="24.75" customHeight="1" x14ac:dyDescent="0.15">
      <c r="D42" t="s">
        <v>1769</v>
      </c>
      <c r="E42" s="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6"/>
      <c r="G42" s="6"/>
      <c r="H42" s="6"/>
      <c r="I42" s="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6"/>
  <sheetViews>
    <sheetView showGridLines="0" topLeftCell="C4" zoomScale="90" workbookViewId="0"/>
  </sheetViews>
  <sheetFormatPr defaultColWidth="10.5703125" defaultRowHeight="14.25" customHeight="1" x14ac:dyDescent="0.15"/>
  <cols>
    <col min="1" max="2" width="9.140625" hidden="1" customWidth="1"/>
    <col min="3" max="3" width="3.7109375" customWidth="1"/>
    <col min="4" max="4" width="6.28515625" customWidth="1"/>
    <col min="5" max="5" width="38.140625" customWidth="1"/>
    <col min="6" max="7" width="35.7109375" customWidth="1"/>
    <col min="8" max="8" width="89.5703125" customWidth="1"/>
  </cols>
  <sheetData>
    <row r="1" spans="3:8" ht="14.25" hidden="1" customHeight="1" x14ac:dyDescent="0.15"/>
    <row r="2" spans="3:8" ht="18.75" hidden="1" customHeight="1" x14ac:dyDescent="0.15">
      <c r="C2" t="s">
        <v>90</v>
      </c>
    </row>
    <row r="3" spans="3:8" ht="14.25" hidden="1" customHeight="1" x14ac:dyDescent="0.15"/>
    <row r="4" spans="3:8" ht="6" customHeight="1" x14ac:dyDescent="0.15"/>
    <row r="5" spans="3:8" ht="54.75" customHeight="1" x14ac:dyDescent="0.15">
      <c r="D5" s="6"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6"/>
      <c r="F5" s="6"/>
      <c r="G5" s="6"/>
    </row>
    <row r="6" spans="3:8" ht="17.25" customHeight="1" x14ac:dyDescent="0.15">
      <c r="D6" s="6" t="str">
        <f>IF(org=0,"Не определено",org)</f>
        <v>КГУП "Примтеплоэнерго"</v>
      </c>
      <c r="E6" s="6"/>
      <c r="F6" s="6"/>
      <c r="G6" s="6"/>
    </row>
    <row r="8" spans="3:8" ht="14.25" customHeight="1" x14ac:dyDescent="0.15">
      <c r="D8" s="6" t="s">
        <v>593</v>
      </c>
      <c r="E8" s="6"/>
      <c r="F8" s="6"/>
      <c r="G8" s="6"/>
      <c r="H8" s="6" t="s">
        <v>594</v>
      </c>
    </row>
    <row r="9" spans="3:8" ht="14.25" customHeight="1" x14ac:dyDescent="0.15">
      <c r="D9" t="s">
        <v>75</v>
      </c>
      <c r="E9" t="s">
        <v>595</v>
      </c>
      <c r="F9" t="s">
        <v>596</v>
      </c>
      <c r="G9" t="s">
        <v>685</v>
      </c>
      <c r="H9" s="6"/>
    </row>
    <row r="10" spans="3:8" ht="14.25" customHeight="1" x14ac:dyDescent="0.15">
      <c r="D10" t="s">
        <v>165</v>
      </c>
      <c r="E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H10" s="6" t="s">
        <v>1856</v>
      </c>
    </row>
    <row r="11" spans="3:8" ht="14.25" customHeight="1" x14ac:dyDescent="0.15">
      <c r="D11" t="s">
        <v>89</v>
      </c>
      <c r="E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H11" s="6"/>
    </row>
    <row r="12" spans="3:8" ht="22.5" customHeight="1" x14ac:dyDescent="0.15">
      <c r="D12" t="s">
        <v>77</v>
      </c>
      <c r="E12" t="str">
        <f>"Сведения о планировании закупочных процедур"&amp;IF(TEMPLATE_SPHERE="TKO"," &lt;1&gt;","")</f>
        <v>Сведения о планировании закупочных процедур</v>
      </c>
      <c r="H12" s="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row>
    <row r="13" spans="3:8" ht="22.5" customHeight="1" x14ac:dyDescent="0.15">
      <c r="D13" t="s">
        <v>78</v>
      </c>
      <c r="E13" t="str">
        <f>"Сведения о результатах проведения закупочных процедур"&amp;IF(TEMPLATE_SPHERE="TKO"," &lt;1&gt;","")</f>
        <v>Сведения о результатах проведения закупочных процедур</v>
      </c>
      <c r="H13" s="6"/>
    </row>
    <row r="14" spans="3:8" ht="14.25" customHeight="1" x14ac:dyDescent="0.15">
      <c r="E14" t="s">
        <v>1714</v>
      </c>
      <c r="H14" s="6"/>
    </row>
    <row r="16" spans="3:8" ht="21.75" customHeight="1" x14ac:dyDescent="0.15">
      <c r="D16" t="s">
        <v>1769</v>
      </c>
      <c r="E16" s="6" t="s">
        <v>1857</v>
      </c>
      <c r="F16" s="6"/>
      <c r="G16" s="6"/>
      <c r="H16" s="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W23"/>
  <sheetViews>
    <sheetView showGridLines="0" topLeftCell="C4" zoomScale="90" workbookViewId="0">
      <selection activeCell="BU8" sqref="BU8"/>
    </sheetView>
  </sheetViews>
  <sheetFormatPr defaultColWidth="10.5703125" defaultRowHeight="15" customHeight="1" x14ac:dyDescent="0.15"/>
  <cols>
    <col min="1" max="2" width="9.140625" hidden="1" customWidth="1"/>
    <col min="3" max="3" width="4.7109375" customWidth="1"/>
    <col min="4" max="4" width="6.28515625" customWidth="1"/>
    <col min="5" max="5" width="47.85546875" customWidth="1"/>
    <col min="6" max="6" width="9.5703125" customWidth="1"/>
    <col min="7" max="7" width="25.7109375" hidden="1" customWidth="1"/>
    <col min="8" max="8" width="34" hidden="1" customWidth="1"/>
    <col min="9" max="9" width="25.7109375" customWidth="1"/>
    <col min="10" max="10" width="34" customWidth="1"/>
    <col min="11" max="11" width="25.7109375" customWidth="1"/>
    <col min="12" max="12" width="34" customWidth="1"/>
    <col min="13" max="13" width="25.7109375" customWidth="1"/>
    <col min="14" max="14" width="34" customWidth="1"/>
    <col min="15" max="15" width="25.7109375" customWidth="1"/>
    <col min="16" max="16" width="34" customWidth="1"/>
    <col min="17" max="17" width="25.7109375" customWidth="1"/>
    <col min="18" max="18" width="34" customWidth="1"/>
    <col min="19" max="19" width="25.7109375" customWidth="1"/>
    <col min="20" max="20" width="34" customWidth="1"/>
    <col min="21" max="21" width="25.7109375" customWidth="1"/>
    <col min="22" max="22" width="34" customWidth="1"/>
    <col min="23" max="23" width="25.7109375" customWidth="1"/>
    <col min="24" max="24" width="34" customWidth="1"/>
    <col min="25" max="25" width="25.7109375" customWidth="1"/>
    <col min="26" max="26" width="34" customWidth="1"/>
    <col min="27" max="27" width="25.7109375" customWidth="1"/>
    <col min="28" max="28" width="34" customWidth="1"/>
    <col min="29" max="29" width="25.7109375" customWidth="1"/>
    <col min="30" max="30" width="34" customWidth="1"/>
    <col min="31" max="31" width="25.7109375" customWidth="1"/>
    <col min="32" max="32" width="34" customWidth="1"/>
    <col min="33" max="33" width="25.7109375" customWidth="1"/>
    <col min="34" max="34" width="34" customWidth="1"/>
    <col min="35" max="35" width="25.7109375" customWidth="1"/>
    <col min="36" max="36" width="34" customWidth="1"/>
    <col min="37" max="37" width="25.7109375" customWidth="1"/>
    <col min="38" max="38" width="34" customWidth="1"/>
    <col min="39" max="39" width="25.7109375" customWidth="1"/>
    <col min="40" max="40" width="34" customWidth="1"/>
    <col min="41" max="41" width="25.7109375" customWidth="1"/>
    <col min="42" max="42" width="34" customWidth="1"/>
    <col min="43" max="43" width="25.7109375" customWidth="1"/>
    <col min="44" max="44" width="34" customWidth="1"/>
    <col min="45" max="45" width="25.7109375" customWidth="1"/>
    <col min="46" max="46" width="34" customWidth="1"/>
    <col min="47" max="47" width="25.7109375" customWidth="1"/>
    <col min="48" max="48" width="34" customWidth="1"/>
    <col min="49" max="49" width="25.7109375" customWidth="1"/>
    <col min="50" max="50" width="34" customWidth="1"/>
    <col min="51" max="51" width="25.7109375" customWidth="1"/>
    <col min="52" max="52" width="34" customWidth="1"/>
    <col min="53" max="53" width="25.7109375" customWidth="1"/>
    <col min="54" max="54" width="34" customWidth="1"/>
    <col min="55" max="55" width="25.7109375" customWidth="1"/>
    <col min="56" max="56" width="34" customWidth="1"/>
    <col min="57" max="57" width="25.7109375" customWidth="1"/>
    <col min="58" max="58" width="34" customWidth="1"/>
    <col min="59" max="59" width="25.7109375" customWidth="1"/>
    <col min="60" max="60" width="34" customWidth="1"/>
    <col min="61" max="61" width="25.7109375" customWidth="1"/>
    <col min="62" max="62" width="34" customWidth="1"/>
    <col min="63" max="63" width="25.7109375" customWidth="1"/>
    <col min="64" max="64" width="34" customWidth="1"/>
    <col min="65" max="65" width="25.7109375" customWidth="1"/>
    <col min="66" max="66" width="34" customWidth="1"/>
    <col min="67" max="67" width="25.7109375" customWidth="1"/>
    <col min="68" max="68" width="34" customWidth="1"/>
    <col min="69" max="69" width="25.7109375" customWidth="1"/>
    <col min="70" max="70" width="34" customWidth="1"/>
    <col min="71" max="71" width="25.7109375" customWidth="1"/>
    <col min="72" max="72" width="34" customWidth="1"/>
    <col min="73" max="73" width="25.7109375" customWidth="1"/>
    <col min="74" max="74" width="34" customWidth="1"/>
    <col min="75" max="75" width="50.85546875" customWidth="1"/>
  </cols>
  <sheetData>
    <row r="1" spans="4:75" ht="15" hidden="1" customHeight="1" x14ac:dyDescent="0.15">
      <c r="G1">
        <v>4</v>
      </c>
      <c r="I1">
        <v>4</v>
      </c>
      <c r="K1">
        <v>4</v>
      </c>
      <c r="M1">
        <v>4</v>
      </c>
      <c r="O1">
        <v>4</v>
      </c>
      <c r="Q1">
        <v>4</v>
      </c>
      <c r="S1">
        <v>4</v>
      </c>
      <c r="U1">
        <v>4</v>
      </c>
      <c r="W1">
        <v>4</v>
      </c>
      <c r="Y1">
        <v>4</v>
      </c>
      <c r="AA1">
        <v>4</v>
      </c>
      <c r="AC1">
        <v>4</v>
      </c>
      <c r="AE1">
        <v>4</v>
      </c>
      <c r="AG1">
        <v>4</v>
      </c>
      <c r="AI1">
        <v>4</v>
      </c>
      <c r="AK1">
        <v>4</v>
      </c>
      <c r="AM1">
        <v>4</v>
      </c>
      <c r="AO1">
        <v>4</v>
      </c>
      <c r="AQ1">
        <v>4</v>
      </c>
      <c r="AS1">
        <v>4</v>
      </c>
      <c r="AU1">
        <v>4</v>
      </c>
      <c r="AW1">
        <v>4</v>
      </c>
      <c r="AY1">
        <v>4</v>
      </c>
      <c r="BA1">
        <v>4</v>
      </c>
      <c r="BC1">
        <v>4</v>
      </c>
      <c r="BE1">
        <v>4</v>
      </c>
      <c r="BG1">
        <v>4</v>
      </c>
      <c r="BI1">
        <v>4</v>
      </c>
      <c r="BK1">
        <v>4</v>
      </c>
      <c r="BM1">
        <v>4</v>
      </c>
      <c r="BO1">
        <v>4</v>
      </c>
      <c r="BQ1">
        <v>4</v>
      </c>
      <c r="BS1">
        <v>4</v>
      </c>
      <c r="BU1">
        <v>4</v>
      </c>
    </row>
    <row r="2" spans="4:75" ht="15" hidden="1" customHeight="1" x14ac:dyDescent="0.15"/>
    <row r="3" spans="4:75" ht="15" hidden="1" customHeight="1" x14ac:dyDescent="0.15"/>
    <row r="5" spans="4:75" ht="63" customHeight="1" x14ac:dyDescent="0.15">
      <c r="D5" s="6" t="s">
        <v>1858</v>
      </c>
      <c r="E5" s="6"/>
      <c r="F5" s="6"/>
      <c r="G5" s="6"/>
      <c r="H5" s="6"/>
      <c r="I5" s="6"/>
      <c r="J5" s="6"/>
    </row>
    <row r="6" spans="4:75" ht="15" customHeight="1" x14ac:dyDescent="0.15">
      <c r="D6" s="6" t="str">
        <f>IF(org=0,"Не определено",org)</f>
        <v>КГУП "Примтеплоэнерго"</v>
      </c>
      <c r="E6" s="6"/>
      <c r="F6" s="6"/>
      <c r="G6" s="6"/>
      <c r="H6" s="6"/>
      <c r="I6" s="6"/>
      <c r="J6" s="6"/>
    </row>
    <row r="7" spans="4:75" ht="15" customHeight="1" x14ac:dyDescent="0.15">
      <c r="G7">
        <v>22</v>
      </c>
      <c r="I7">
        <v>1</v>
      </c>
      <c r="K7" t="s">
        <v>4</v>
      </c>
      <c r="M7" t="s">
        <v>4</v>
      </c>
      <c r="O7" t="s">
        <v>4</v>
      </c>
      <c r="Q7" t="s">
        <v>4</v>
      </c>
      <c r="S7" t="s">
        <v>4</v>
      </c>
      <c r="U7" t="s">
        <v>4</v>
      </c>
      <c r="W7" t="s">
        <v>4</v>
      </c>
      <c r="Y7" t="s">
        <v>4</v>
      </c>
      <c r="AA7" t="s">
        <v>4</v>
      </c>
      <c r="AC7" t="s">
        <v>4</v>
      </c>
      <c r="AE7" t="s">
        <v>4</v>
      </c>
      <c r="AG7" t="s">
        <v>4</v>
      </c>
      <c r="AI7" t="s">
        <v>4</v>
      </c>
      <c r="AK7" t="s">
        <v>4</v>
      </c>
      <c r="AM7" t="s">
        <v>4</v>
      </c>
      <c r="AO7" t="s">
        <v>4</v>
      </c>
      <c r="AQ7" t="s">
        <v>4</v>
      </c>
      <c r="AS7" t="s">
        <v>4</v>
      </c>
      <c r="AU7" t="s">
        <v>4</v>
      </c>
      <c r="AW7" t="s">
        <v>4</v>
      </c>
      <c r="AY7" t="s">
        <v>4</v>
      </c>
      <c r="BA7" t="s">
        <v>4</v>
      </c>
      <c r="BC7" t="s">
        <v>4</v>
      </c>
      <c r="BE7" t="s">
        <v>4</v>
      </c>
      <c r="BG7" t="s">
        <v>4</v>
      </c>
      <c r="BI7" t="s">
        <v>4</v>
      </c>
      <c r="BK7" t="s">
        <v>4</v>
      </c>
      <c r="BM7" t="s">
        <v>4</v>
      </c>
      <c r="BO7" t="s">
        <v>4</v>
      </c>
      <c r="BQ7" t="s">
        <v>4</v>
      </c>
      <c r="BS7" t="s">
        <v>4</v>
      </c>
      <c r="BU7" t="s">
        <v>4</v>
      </c>
    </row>
    <row r="8" spans="4:75" ht="0.75" customHeight="1" x14ac:dyDescent="0.15">
      <c r="I8" t="s">
        <v>364</v>
      </c>
      <c r="K8" t="s">
        <v>368</v>
      </c>
      <c r="M8" t="s">
        <v>370</v>
      </c>
      <c r="O8" t="s">
        <v>372</v>
      </c>
      <c r="Q8" t="s">
        <v>374</v>
      </c>
      <c r="S8" t="s">
        <v>376</v>
      </c>
      <c r="U8" t="s">
        <v>378</v>
      </c>
      <c r="W8" t="s">
        <v>380</v>
      </c>
      <c r="Y8" t="s">
        <v>382</v>
      </c>
      <c r="AA8" t="s">
        <v>384</v>
      </c>
      <c r="AC8" t="s">
        <v>386</v>
      </c>
      <c r="AE8" t="s">
        <v>388</v>
      </c>
      <c r="AG8" t="s">
        <v>390</v>
      </c>
      <c r="AI8" t="s">
        <v>402</v>
      </c>
      <c r="AK8" t="s">
        <v>427</v>
      </c>
      <c r="AM8" t="s">
        <v>404</v>
      </c>
      <c r="AO8" t="s">
        <v>406</v>
      </c>
      <c r="AQ8" t="s">
        <v>408</v>
      </c>
      <c r="AS8" t="s">
        <v>410</v>
      </c>
      <c r="AU8" t="s">
        <v>412</v>
      </c>
      <c r="AW8" t="s">
        <v>413</v>
      </c>
      <c r="AY8" t="s">
        <v>415</v>
      </c>
      <c r="BA8" t="s">
        <v>416</v>
      </c>
      <c r="BC8" t="s">
        <v>418</v>
      </c>
      <c r="BE8" t="s">
        <v>419</v>
      </c>
      <c r="BG8" t="s">
        <v>392</v>
      </c>
      <c r="BI8" t="s">
        <v>394</v>
      </c>
      <c r="BK8" t="s">
        <v>396</v>
      </c>
      <c r="BM8" t="s">
        <v>398</v>
      </c>
      <c r="BO8" t="s">
        <v>420</v>
      </c>
      <c r="BQ8" t="s">
        <v>421</v>
      </c>
      <c r="BS8" t="s">
        <v>423</v>
      </c>
      <c r="BU8" t="s">
        <v>425</v>
      </c>
    </row>
    <row r="9" spans="4:75" ht="15" customHeight="1" x14ac:dyDescent="0.15">
      <c r="E9" s="6" t="s">
        <v>355</v>
      </c>
      <c r="F9" s="6"/>
      <c r="G9" s="6" t="str">
        <f>IF(G8="","",INDEX(DIFFERENTIATION_UNMERGE_VD,MATCH(G8,DIFFERENTIATION_ID_DIFF,0)))</f>
        <v/>
      </c>
      <c r="H9" s="6"/>
      <c r="I9" s="6" t="str">
        <f>IF(I8="","",INDEX(DIFFERENTIATION_UNMERGE_VD,MATCH(I8,DIFFERENTIATION_ID_DIFF,0)))</f>
        <v>Производство тепловой энергии. Некомбинированная выработка</v>
      </c>
      <c r="J9" s="6"/>
      <c r="K9" s="6" t="str">
        <f>IF(K8="","",INDEX(DIFFERENTIATION_UNMERGE_VD,MATCH(K8,DIFFERENTIATION_ID_DIFF,0)))</f>
        <v>Производство тепловой энергии. Некомбинированная выработка</v>
      </c>
      <c r="L9" s="6"/>
      <c r="M9" s="6" t="str">
        <f>IF(M8="","",INDEX(DIFFERENTIATION_UNMERGE_VD,MATCH(M8,DIFFERENTIATION_ID_DIFF,0)))</f>
        <v>Производство тепловой энергии. Некомбинированная выработка</v>
      </c>
      <c r="N9" s="6"/>
      <c r="O9" s="6" t="str">
        <f>IF(O8="","",INDEX(DIFFERENTIATION_UNMERGE_VD,MATCH(O8,DIFFERENTIATION_ID_DIFF,0)))</f>
        <v>Производство тепловой энергии. Некомбинированная выработка</v>
      </c>
      <c r="P9" s="6"/>
      <c r="Q9" s="6" t="str">
        <f>IF(Q8="","",INDEX(DIFFERENTIATION_UNMERGE_VD,MATCH(Q8,DIFFERENTIATION_ID_DIFF,0)))</f>
        <v>Производство тепловой энергии. Некомбинированная выработка</v>
      </c>
      <c r="R9" s="6"/>
      <c r="S9" s="6" t="str">
        <f>IF(S8="","",INDEX(DIFFERENTIATION_UNMERGE_VD,MATCH(S8,DIFFERENTIATION_ID_DIFF,0)))</f>
        <v>Производство тепловой энергии. Некомбинированная выработка</v>
      </c>
      <c r="T9" s="6"/>
      <c r="U9" s="6" t="str">
        <f>IF(U8="","",INDEX(DIFFERENTIATION_UNMERGE_VD,MATCH(U8,DIFFERENTIATION_ID_DIFF,0)))</f>
        <v>Производство тепловой энергии. Некомбинированная выработка</v>
      </c>
      <c r="V9" s="6"/>
      <c r="W9" s="6" t="str">
        <f>IF(W8="","",INDEX(DIFFERENTIATION_UNMERGE_VD,MATCH(W8,DIFFERENTIATION_ID_DIFF,0)))</f>
        <v>Производство тепловой энергии. Некомбинированная выработка</v>
      </c>
      <c r="X9" s="6"/>
      <c r="Y9" s="6" t="str">
        <f>IF(Y8="","",INDEX(DIFFERENTIATION_UNMERGE_VD,MATCH(Y8,DIFFERENTIATION_ID_DIFF,0)))</f>
        <v>Производство тепловой энергии. Некомбинированная выработка</v>
      </c>
      <c r="Z9" s="6"/>
      <c r="AA9" s="6" t="str">
        <f>IF(AA8="","",INDEX(DIFFERENTIATION_UNMERGE_VD,MATCH(AA8,DIFFERENTIATION_ID_DIFF,0)))</f>
        <v>Производство тепловой энергии. Некомбинированная выработка</v>
      </c>
      <c r="AB9" s="6"/>
      <c r="AC9" s="6" t="str">
        <f>IF(AC8="","",INDEX(DIFFERENTIATION_UNMERGE_VD,MATCH(AC8,DIFFERENTIATION_ID_DIFF,0)))</f>
        <v>Производство тепловой энергии. Некомбинированная выработка</v>
      </c>
      <c r="AD9" s="6"/>
      <c r="AE9" s="6" t="str">
        <f>IF(AE8="","",INDEX(DIFFERENTIATION_UNMERGE_VD,MATCH(AE8,DIFFERENTIATION_ID_DIFF,0)))</f>
        <v>Производство тепловой энергии. Некомбинированная выработка</v>
      </c>
      <c r="AF9" s="6"/>
      <c r="AG9" s="6" t="str">
        <f>IF(AG8="","",INDEX(DIFFERENTIATION_UNMERGE_VD,MATCH(AG8,DIFFERENTIATION_ID_DIFF,0)))</f>
        <v>Производство тепловой энергии. Некомбинированная выработка</v>
      </c>
      <c r="AH9" s="6"/>
      <c r="AI9" s="6" t="str">
        <f>IF(AI8="","",INDEX(DIFFERENTIATION_UNMERGE_VD,MATCH(AI8,DIFFERENTIATION_ID_DIFF,0)))</f>
        <v>Подключение (технологическое присоединение) к системе теплоснабжения</v>
      </c>
      <c r="AJ9" s="6"/>
      <c r="AK9" s="6" t="str">
        <f>IF(AK8="","",INDEX(DIFFERENTIATION_UNMERGE_VD,MATCH(AK8,DIFFERENTIATION_ID_DIFF,0)))</f>
        <v>Передача. Тепловая энергия</v>
      </c>
      <c r="AL9" s="6"/>
      <c r="AM9" s="6" t="str">
        <f>IF(AM8="","",INDEX(DIFFERENTIATION_UNMERGE_VD,MATCH(AM8,DIFFERENTIATION_ID_DIFF,0)))</f>
        <v>Подключение (технологическое присоединение) к системе теплоснабжения</v>
      </c>
      <c r="AN9" s="6"/>
      <c r="AO9" s="6" t="str">
        <f>IF(AO8="","",INDEX(DIFFERENTIATION_UNMERGE_VD,MATCH(AO8,DIFFERENTIATION_ID_DIFF,0)))</f>
        <v>Подключение (технологическое присоединение) к системе теплоснабжения</v>
      </c>
      <c r="AP9" s="6"/>
      <c r="AQ9" s="6" t="str">
        <f>IF(AQ8="","",INDEX(DIFFERENTIATION_UNMERGE_VD,MATCH(AQ8,DIFFERENTIATION_ID_DIFF,0)))</f>
        <v>Подключение (технологическое присоединение) к системе теплоснабжения</v>
      </c>
      <c r="AR9" s="6"/>
      <c r="AS9" s="6" t="str">
        <f>IF(AS8="","",INDEX(DIFFERENTIATION_UNMERGE_VD,MATCH(AS8,DIFFERENTIATION_ID_DIFF,0)))</f>
        <v>Подключение (технологическое присоединение) к системе теплоснабжения</v>
      </c>
      <c r="AT9" s="6"/>
      <c r="AU9" s="6" t="str">
        <f>IF(AU8="","",INDEX(DIFFERENTIATION_UNMERGE_VD,MATCH(AU8,DIFFERENTIATION_ID_DIFF,0)))</f>
        <v>Подключение (технологическое присоединение) к системе теплоснабжения</v>
      </c>
      <c r="AV9" s="6"/>
      <c r="AW9" s="6" t="str">
        <f>IF(AW8="","",INDEX(DIFFERENTIATION_UNMERGE_VD,MATCH(AW8,DIFFERENTIATION_ID_DIFF,0)))</f>
        <v>Подключение (технологическое присоединение) к системе теплоснабжения</v>
      </c>
      <c r="AX9" s="6"/>
      <c r="AY9" s="6" t="str">
        <f>IF(AY8="","",INDEX(DIFFERENTIATION_UNMERGE_VD,MATCH(AY8,DIFFERENTIATION_ID_DIFF,0)))</f>
        <v>Подключение (технологическое присоединение) к системе теплоснабжения</v>
      </c>
      <c r="AZ9" s="6"/>
      <c r="BA9" s="6" t="str">
        <f>IF(BA8="","",INDEX(DIFFERENTIATION_UNMERGE_VD,MATCH(BA8,DIFFERENTIATION_ID_DIFF,0)))</f>
        <v>Подключение (технологическое присоединение) к системе теплоснабжения</v>
      </c>
      <c r="BB9" s="6"/>
      <c r="BC9" s="6" t="str">
        <f>IF(BC8="","",INDEX(DIFFERENTIATION_UNMERGE_VD,MATCH(BC8,DIFFERENTIATION_ID_DIFF,0)))</f>
        <v>Подключение (технологическое присоединение) к системе теплоснабжения</v>
      </c>
      <c r="BD9" s="6"/>
      <c r="BE9" s="6" t="str">
        <f>IF(BE8="","",INDEX(DIFFERENTIATION_UNMERGE_VD,MATCH(BE8,DIFFERENTIATION_ID_DIFF,0)))</f>
        <v>Подключение (технологическое присоединение) к системе теплоснабжения</v>
      </c>
      <c r="BF9" s="6"/>
      <c r="BG9" s="6" t="str">
        <f>IF(BG8="","",INDEX(DIFFERENTIATION_UNMERGE_VD,MATCH(BG8,DIFFERENTIATION_ID_DIFF,0)))</f>
        <v>Производство тепловой энергии. Некомбинированная выработка</v>
      </c>
      <c r="BH9" s="6"/>
      <c r="BI9" s="6" t="str">
        <f>IF(BI8="","",INDEX(DIFFERENTIATION_UNMERGE_VD,MATCH(BI8,DIFFERENTIATION_ID_DIFF,0)))</f>
        <v>Производство тепловой энергии. Некомбинированная выработка</v>
      </c>
      <c r="BJ9" s="6"/>
      <c r="BK9" s="6" t="str">
        <f>IF(BK8="","",INDEX(DIFFERENTIATION_UNMERGE_VD,MATCH(BK8,DIFFERENTIATION_ID_DIFF,0)))</f>
        <v>Производство тепловой энергии. Некомбинированная выработка</v>
      </c>
      <c r="BL9" s="6"/>
      <c r="BM9" s="6" t="str">
        <f>IF(BM8="","",INDEX(DIFFERENTIATION_UNMERGE_VD,MATCH(BM8,DIFFERENTIATION_ID_DIFF,0)))</f>
        <v>Производство тепловой энергии. Некомбинированная выработка</v>
      </c>
      <c r="BN9" s="6"/>
      <c r="BO9" s="6" t="str">
        <f>IF(BO8="","",INDEX(DIFFERENTIATION_UNMERGE_VD,MATCH(BO8,DIFFERENTIATION_ID_DIFF,0)))</f>
        <v>Подключение (технологическое присоединение) к системе теплоснабжения</v>
      </c>
      <c r="BP9" s="6"/>
      <c r="BQ9" s="6" t="str">
        <f>IF(BQ8="","",INDEX(DIFFERENTIATION_UNMERGE_VD,MATCH(BQ8,DIFFERENTIATION_ID_DIFF,0)))</f>
        <v>Подключение (технологическое присоединение) к системе теплоснабжения</v>
      </c>
      <c r="BR9" s="6"/>
      <c r="BS9" s="6" t="str">
        <f>IF(BS8="","",INDEX(DIFFERENTIATION_UNMERGE_VD,MATCH(BS8,DIFFERENTIATION_ID_DIFF,0)))</f>
        <v>Подключение (технологическое присоединение) к системе теплоснабжения</v>
      </c>
      <c r="BT9" s="6"/>
      <c r="BU9" s="6" t="str">
        <f>IF(BU8="","",INDEX(DIFFERENTIATION_UNMERGE_VD,MATCH(BU8,DIFFERENTIATION_ID_DIFF,0)))</f>
        <v>Подключение (технологическое присоединение) к системе теплоснабжения</v>
      </c>
      <c r="BV9" s="6"/>
      <c r="BW9" s="6" t="s">
        <v>594</v>
      </c>
    </row>
    <row r="10" spans="4:75" ht="15" customHeight="1" x14ac:dyDescent="0.15">
      <c r="E10" s="6" t="s">
        <v>1680</v>
      </c>
      <c r="F10" s="6"/>
      <c r="G10" s="6" t="str">
        <f>IF(G8="","",INDEX(DIFFERENTIATION_UNMERGE_AREA,MATCH(G8,DIFFERENTIATION_ID_DIFF,0)))</f>
        <v/>
      </c>
      <c r="H10" s="6"/>
      <c r="I10" s="6" t="str">
        <f>IF(I8="","",INDEX(DIFFERENTIATION_UNMERGE_AREA,MATCH(I8,DIFFERENTIATION_ID_DIFF,0)))</f>
        <v>без дифференциации</v>
      </c>
      <c r="J10" s="6"/>
      <c r="K10" s="6" t="str">
        <f>IF(K8="","",INDEX(DIFFERENTIATION_UNMERGE_AREA,MATCH(K8,DIFFERENTIATION_ID_DIFF,0)))</f>
        <v>без дифференциации</v>
      </c>
      <c r="L10" s="6"/>
      <c r="M10" s="6" t="str">
        <f>IF(M8="","",INDEX(DIFFERENTIATION_UNMERGE_AREA,MATCH(M8,DIFFERENTIATION_ID_DIFF,0)))</f>
        <v>без дифференциации</v>
      </c>
      <c r="N10" s="6"/>
      <c r="O10" s="6" t="str">
        <f>IF(O8="","",INDEX(DIFFERENTIATION_UNMERGE_AREA,MATCH(O8,DIFFERENTIATION_ID_DIFF,0)))</f>
        <v>без дифференциации</v>
      </c>
      <c r="P10" s="6"/>
      <c r="Q10" s="6" t="str">
        <f>IF(Q8="","",INDEX(DIFFERENTIATION_UNMERGE_AREA,MATCH(Q8,DIFFERENTIATION_ID_DIFF,0)))</f>
        <v>без дифференциации</v>
      </c>
      <c r="R10" s="6"/>
      <c r="S10" s="6" t="str">
        <f>IF(S8="","",INDEX(DIFFERENTIATION_UNMERGE_AREA,MATCH(S8,DIFFERENTIATION_ID_DIFF,0)))</f>
        <v>без дифференциации</v>
      </c>
      <c r="T10" s="6"/>
      <c r="U10" s="6" t="str">
        <f>IF(U8="","",INDEX(DIFFERENTIATION_UNMERGE_AREA,MATCH(U8,DIFFERENTIATION_ID_DIFF,0)))</f>
        <v>без дифференциации</v>
      </c>
      <c r="V10" s="6"/>
      <c r="W10" s="6" t="str">
        <f>IF(W8="","",INDEX(DIFFERENTIATION_UNMERGE_AREA,MATCH(W8,DIFFERENTIATION_ID_DIFF,0)))</f>
        <v>без дифференциации</v>
      </c>
      <c r="X10" s="6"/>
      <c r="Y10" s="6" t="str">
        <f>IF(Y8="","",INDEX(DIFFERENTIATION_UNMERGE_AREA,MATCH(Y8,DIFFERENTIATION_ID_DIFF,0)))</f>
        <v>без дифференциации</v>
      </c>
      <c r="Z10" s="6"/>
      <c r="AA10" s="6" t="str">
        <f>IF(AA8="","",INDEX(DIFFERENTIATION_UNMERGE_AREA,MATCH(AA8,DIFFERENTIATION_ID_DIFF,0)))</f>
        <v>без дифференциации</v>
      </c>
      <c r="AB10" s="6"/>
      <c r="AC10" s="6" t="str">
        <f>IF(AC8="","",INDEX(DIFFERENTIATION_UNMERGE_AREA,MATCH(AC8,DIFFERENTIATION_ID_DIFF,0)))</f>
        <v>без дифференциации</v>
      </c>
      <c r="AD10" s="6"/>
      <c r="AE10" s="6" t="str">
        <f>IF(AE8="","",INDEX(DIFFERENTIATION_UNMERGE_AREA,MATCH(AE8,DIFFERENTIATION_ID_DIFF,0)))</f>
        <v>без дифференциации</v>
      </c>
      <c r="AF10" s="6"/>
      <c r="AG10" s="6" t="str">
        <f>IF(AG8="","",INDEX(DIFFERENTIATION_UNMERGE_AREA,MATCH(AG8,DIFFERENTIATION_ID_DIFF,0)))</f>
        <v>без дифференциации</v>
      </c>
      <c r="AH10" s="6"/>
      <c r="AI10" s="6" t="str">
        <f>IF(AI8="","",INDEX(DIFFERENTIATION_UNMERGE_AREA,MATCH(AI8,DIFFERENTIATION_ID_DIFF,0)))</f>
        <v>Территория 33</v>
      </c>
      <c r="AJ10" s="6"/>
      <c r="AK10" s="6" t="str">
        <f>IF(AK8="","",INDEX(DIFFERENTIATION_UNMERGE_AREA,MATCH(AK8,DIFFERENTIATION_ID_DIFF,0)))</f>
        <v>Территория 1</v>
      </c>
      <c r="AL10" s="6"/>
      <c r="AM10" s="6" t="str">
        <f>IF(AM8="","",INDEX(DIFFERENTIATION_UNMERGE_AREA,MATCH(AM8,DIFFERENTIATION_ID_DIFF,0)))</f>
        <v>Территория 25</v>
      </c>
      <c r="AN10" s="6"/>
      <c r="AO10" s="6" t="str">
        <f>IF(AO8="","",INDEX(DIFFERENTIATION_UNMERGE_AREA,MATCH(AO8,DIFFERENTIATION_ID_DIFF,0)))</f>
        <v>Территория 10</v>
      </c>
      <c r="AP10" s="6"/>
      <c r="AQ10" s="6" t="str">
        <f>IF(AQ8="","",INDEX(DIFFERENTIATION_UNMERGE_AREA,MATCH(AQ8,DIFFERENTIATION_ID_DIFF,0)))</f>
        <v>Территория 9</v>
      </c>
      <c r="AR10" s="6"/>
      <c r="AS10" s="6" t="str">
        <f>IF(AS8="","",INDEX(DIFFERENTIATION_UNMERGE_AREA,MATCH(AS8,DIFFERENTIATION_ID_DIFF,0)))</f>
        <v>Территория 4</v>
      </c>
      <c r="AT10" s="6"/>
      <c r="AU10" s="6" t="str">
        <f>IF(AU8="","",INDEX(DIFFERENTIATION_UNMERGE_AREA,MATCH(AU8,DIFFERENTIATION_ID_DIFF,0)))</f>
        <v>Территория 21</v>
      </c>
      <c r="AV10" s="6"/>
      <c r="AW10" s="6" t="str">
        <f>IF(AW8="","",INDEX(DIFFERENTIATION_UNMERGE_AREA,MATCH(AW8,DIFFERENTIATION_ID_DIFF,0)))</f>
        <v>Территория 16</v>
      </c>
      <c r="AX10" s="6"/>
      <c r="AY10" s="6" t="str">
        <f>IF(AY8="","",INDEX(DIFFERENTIATION_UNMERGE_AREA,MATCH(AY8,DIFFERENTIATION_ID_DIFF,0)))</f>
        <v>Территория 22</v>
      </c>
      <c r="AZ10" s="6"/>
      <c r="BA10" s="6" t="str">
        <f>IF(BA8="","",INDEX(DIFFERENTIATION_UNMERGE_AREA,MATCH(BA8,DIFFERENTIATION_ID_DIFF,0)))</f>
        <v>Территория 7</v>
      </c>
      <c r="BB10" s="6"/>
      <c r="BC10" s="6" t="str">
        <f>IF(BC8="","",INDEX(DIFFERENTIATION_UNMERGE_AREA,MATCH(BC8,DIFFERENTIATION_ID_DIFF,0)))</f>
        <v>Территория 15</v>
      </c>
      <c r="BD10" s="6"/>
      <c r="BE10" s="6" t="str">
        <f>IF(BE8="","",INDEX(DIFFERENTIATION_UNMERGE_AREA,MATCH(BE8,DIFFERENTIATION_ID_DIFF,0)))</f>
        <v>Территория 32</v>
      </c>
      <c r="BF10" s="6"/>
      <c r="BG10" s="6" t="str">
        <f>IF(BG8="","",INDEX(DIFFERENTIATION_UNMERGE_AREA,MATCH(BG8,DIFFERENTIATION_ID_DIFF,0)))</f>
        <v>без дифференциации</v>
      </c>
      <c r="BH10" s="6"/>
      <c r="BI10" s="6" t="str">
        <f>IF(BI8="","",INDEX(DIFFERENTIATION_UNMERGE_AREA,MATCH(BI8,DIFFERENTIATION_ID_DIFF,0)))</f>
        <v>без дифференциации</v>
      </c>
      <c r="BJ10" s="6"/>
      <c r="BK10" s="6" t="str">
        <f>IF(BK8="","",INDEX(DIFFERENTIATION_UNMERGE_AREA,MATCH(BK8,DIFFERENTIATION_ID_DIFF,0)))</f>
        <v>без дифференциации</v>
      </c>
      <c r="BL10" s="6"/>
      <c r="BM10" s="6" t="str">
        <f>IF(BM8="","",INDEX(DIFFERENTIATION_UNMERGE_AREA,MATCH(BM8,DIFFERENTIATION_ID_DIFF,0)))</f>
        <v>без дифференциации</v>
      </c>
      <c r="BN10" s="6"/>
      <c r="BO10" s="6" t="str">
        <f>IF(BO8="","",INDEX(DIFFERENTIATION_UNMERGE_AREA,MATCH(BO8,DIFFERENTIATION_ID_DIFF,0)))</f>
        <v>Территория 1</v>
      </c>
      <c r="BP10" s="6"/>
      <c r="BQ10" s="6" t="str">
        <f>IF(BQ8="","",INDEX(DIFFERENTIATION_UNMERGE_AREA,MATCH(BQ8,DIFFERENTIATION_ID_DIFF,0)))</f>
        <v>Территория 17</v>
      </c>
      <c r="BR10" s="6"/>
      <c r="BS10" s="6" t="str">
        <f>IF(BS8="","",INDEX(DIFFERENTIATION_UNMERGE_AREA,MATCH(BS8,DIFFERENTIATION_ID_DIFF,0)))</f>
        <v>Территория 23</v>
      </c>
      <c r="BT10" s="6"/>
      <c r="BU10" s="6" t="str">
        <f>IF(BU8="","",INDEX(DIFFERENTIATION_UNMERGE_AREA,MATCH(BU8,DIFFERENTIATION_ID_DIFF,0)))</f>
        <v>Территория 23</v>
      </c>
      <c r="BV10" s="6"/>
      <c r="BW10" s="6"/>
    </row>
    <row r="11" spans="4:75" ht="15" customHeight="1" x14ac:dyDescent="0.15">
      <c r="E11" s="6" t="s">
        <v>1681</v>
      </c>
      <c r="F11" s="6"/>
      <c r="G11" s="6" t="str">
        <f>IF(G8="","",INDEX(DIFFERENTIATION_UNMERGE_SYSTEM,MATCH(G8,DIFFERENTIATION_ID_DIFF,0)))</f>
        <v/>
      </c>
      <c r="H11" s="6"/>
      <c r="I11" s="6" t="str">
        <f>IF(I8="","",INDEX(DIFFERENTIATION_UNMERGE_SYSTEM,MATCH(I8,DIFFERENTIATION_ID_DIFF,0)))</f>
        <v>Единый тариф на тепловую энергию по Приморскому краю</v>
      </c>
      <c r="J11" s="6"/>
      <c r="K11" s="6" t="str">
        <f>IF(K8="","",INDEX(DIFFERENTIATION_UNMERGE_SYSTEM,MATCH(K8,DIFFERENTIATION_ID_DIFF,0)))</f>
        <v>Тариф на тепловую энергию по Арсеньевскому ГО</v>
      </c>
      <c r="L11" s="6"/>
      <c r="M11" s="6" t="str">
        <f>IF(M8="","",INDEX(DIFFERENTIATION_UNMERGE_SYSTEM,MATCH(M8,DIFFERENTIATION_ID_DIFF,0)))</f>
        <v xml:space="preserve">Тариф на тепловую энергию по городскому округгу Большой Камень
</v>
      </c>
      <c r="N11" s="6"/>
      <c r="O11" s="6" t="str">
        <f>IF(O8="","",INDEX(DIFFERENTIATION_UNMERGE_SYSTEM,MATCH(O8,DIFFERENTIATION_ID_DIFF,0)))</f>
        <v>ГВС-открытая система на территории Артемовский городской округ, Артемовский городской округ (05705000)</v>
      </c>
      <c r="P11" s="6"/>
      <c r="Q11" s="6" t="str">
        <f>IF(Q8="","",INDEX(DIFFERENTIATION_UNMERGE_SYSTEM,MATCH(Q8,DIFFERENTIATION_ID_DIFF,0)))</f>
        <v>ГВС-открытая система на территории Дальнегорский городской округ, Дальнегорский городской округ (05707000);</v>
      </c>
      <c r="R11" s="6"/>
      <c r="S11" s="6" t="str">
        <f>IF(S8="","",INDEX(DIFFERENTIATION_UNMERGE_SYSTEM,MATCH(S8,DIFFERENTIATION_ID_DIFF,0)))</f>
        <v xml:space="preserve">ГВС-открытая система на территории Кавалеровский муниципальный район, Кавалеровский муниципальный район (05610000); </v>
      </c>
      <c r="T11" s="6"/>
      <c r="U11" s="6" t="str">
        <f>IF(U8="","",INDEX(DIFFERENTIATION_UNMERGE_SYSTEM,MATCH(U8,DIFFERENTIATION_ID_DIFF,0)))</f>
        <v xml:space="preserve">ГВС-открытая система на территории Кировский муниципальный район, Горноключевское гороское поселение (05612154); </v>
      </c>
      <c r="V11" s="6"/>
      <c r="W11" s="6" t="str">
        <f>IF(W8="","",INDEX(DIFFERENTIATION_UNMERGE_SYSTEM,MATCH(W8,DIFFERENTIATION_ID_DIFF,0)))</f>
        <v xml:space="preserve">ГВС-открытая система на территории Михайловский муниципальный район, Новошахтинское городское поселение (05620154); </v>
      </c>
      <c r="X11" s="6"/>
      <c r="Y11" s="6" t="str">
        <f>IF(Y8="","",INDEX(DIFFERENTIATION_UNMERGE_SYSTEM,MATCH(Y8,DIFFERENTIATION_ID_DIFF,0)))</f>
        <v xml:space="preserve">ГВС-открытая система на территории Пожарский муниципальный район, Губеровское сельское поселение (05634407); </v>
      </c>
      <c r="Z11" s="6"/>
      <c r="AA11" s="6" t="str">
        <f>IF(AA8="","",INDEX(DIFFERENTIATION_UNMERGE_SYSTEM,MATCH(AA8,DIFFERENTIATION_ID_DIFF,0)))</f>
        <v xml:space="preserve">ГВС-открытая система на территории Пожарский муниципальный район, Нагорненское сельское поселение (05634418); </v>
      </c>
      <c r="AB11" s="6"/>
      <c r="AC11" s="6" t="str">
        <f>IF(AC8="","",INDEX(DIFFERENTIATION_UNMERGE_SYSTEM,MATCH(AC8,DIFFERENTIATION_ID_DIFF,0)))</f>
        <v xml:space="preserve">ГВС-открытая система на территории Хасанский муниципальный район, Зарубинское городское поселение (05648153); </v>
      </c>
      <c r="AD11" s="6"/>
      <c r="AE11" s="6" t="str">
        <f>IF(AE8="","",INDEX(DIFFERENTIATION_UNMERGE_SYSTEM,MATCH(AE8,DIFFERENTIATION_ID_DIFF,0)))</f>
        <v xml:space="preserve">ГВС-открытая система на территории Хасанский муниципальный район, Славянское городское поселение (05648151); </v>
      </c>
      <c r="AF11" s="6"/>
      <c r="AG11" s="6" t="str">
        <f>IF(AG8="","",INDEX(DIFFERENTIATION_UNMERGE_SYSTEM,MATCH(AG8,DIFFERENTIATION_ID_DIFF,0)))</f>
        <v xml:space="preserve">ГВС-открытая система на территории Хорольский муниципальный район, Ярославское городское поселение (05650156); </v>
      </c>
      <c r="AH11" s="6"/>
      <c r="AI11" s="6" t="str">
        <f>IF(AI8="","",INDEX(DIFFERENTIATION_UNMERGE_SYSTEM,MATCH(AI8,DIFFERENTIATION_ID_DIFF,0)))</f>
        <v>Городской округ Большой Камень</v>
      </c>
      <c r="AJ11" s="6"/>
      <c r="AK11" s="6" t="str">
        <f>IF(AK8="","",INDEX(DIFFERENTIATION_UNMERGE_SYSTEM,MATCH(AK8,DIFFERENTIATION_ID_DIFF,0)))</f>
        <v xml:space="preserve">Лесозаводский городской округ, Лесозаводский городской округ (05711000);
</v>
      </c>
      <c r="AL11" s="6"/>
      <c r="AM11" s="6" t="str">
        <f>IF(AM8="","",INDEX(DIFFERENTIATION_UNMERGE_SYSTEM,MATCH(AM8,DIFFERENTIATION_ID_DIFF,0)))</f>
        <v>Черниговский муниципальный район</v>
      </c>
      <c r="AN11" s="6"/>
      <c r="AO11" s="6" t="str">
        <f>IF(AO8="","",INDEX(DIFFERENTIATION_UNMERGE_SYSTEM,MATCH(AO8,DIFFERENTIATION_ID_DIFF,0)))</f>
        <v>Спасское МО</v>
      </c>
      <c r="AP11" s="6"/>
      <c r="AQ11" s="6" t="str">
        <f>IF(AQ8="","",INDEX(DIFFERENTIATION_UNMERGE_SYSTEM,MATCH(AQ8,DIFFERENTIATION_ID_DIFF,0)))</f>
        <v>Городской округ Спасск Дальний</v>
      </c>
      <c r="AR11" s="6"/>
      <c r="AS11" s="6" t="str">
        <f>IF(AS8="","",INDEX(DIFFERENTIATION_UNMERGE_SYSTEM,MATCH(AS8,DIFFERENTIATION_ID_DIFF,0)))</f>
        <v>Дальнереченский  городской округ</v>
      </c>
      <c r="AT11" s="6"/>
      <c r="AU11" s="6" t="str">
        <f>IF(AU8="","",INDEX(DIFFERENTIATION_UNMERGE_SYSTEM,MATCH(AU8,DIFFERENTIATION_ID_DIFF,0)))</f>
        <v>Пожарский муниципальное образование</v>
      </c>
      <c r="AV11" s="6"/>
      <c r="AW11" s="6" t="str">
        <f>IF(AW8="","",INDEX(DIFFERENTIATION_UNMERGE_SYSTEM,MATCH(AW8,DIFFERENTIATION_ID_DIFF,0)))</f>
        <v>Михайловский муниципальный район</v>
      </c>
      <c r="AX11" s="6"/>
      <c r="AY11" s="6" t="str">
        <f>IF(AY8="","",INDEX(DIFFERENTIATION_UNMERGE_SYSTEM,MATCH(AY8,DIFFERENTIATION_ID_DIFF,0)))</f>
        <v>Ханкайский муниципальный район</v>
      </c>
      <c r="AZ11" s="6"/>
      <c r="BA11" s="6" t="str">
        <f>IF(BA8="","",INDEX(DIFFERENTIATION_UNMERGE_SYSTEM,MATCH(BA8,DIFFERENTIATION_ID_DIFF,0)))</f>
        <v>Находкинский городской округ</v>
      </c>
      <c r="BB11" s="6"/>
      <c r="BC11" s="6" t="str">
        <f>IF(BC8="","",INDEX(DIFFERENTIATION_UNMERGE_SYSTEM,MATCH(BC8,DIFFERENTIATION_ID_DIFF,0)))</f>
        <v>Лазовский МО</v>
      </c>
      <c r="BD11" s="6"/>
      <c r="BE11" s="6" t="str">
        <f>IF(BE8="","",INDEX(DIFFERENTIATION_UNMERGE_SYSTEM,MATCH(BE8,DIFFERENTIATION_ID_DIFF,0)))</f>
        <v>Арсеньевский городской округ</v>
      </c>
      <c r="BF11" s="6"/>
      <c r="BG11" s="6" t="str">
        <f>IF(BG8="","",INDEX(DIFFERENTIATION_UNMERGE_SYSTEM,MATCH(BG8,DIFFERENTIATION_ID_DIFF,0)))</f>
        <v xml:space="preserve">ГВС-открытая система на территории Шкотовский муниципальный район, Штыковское сельское поселение (05657432); </v>
      </c>
      <c r="BH11" s="6"/>
      <c r="BI11" s="6" t="str">
        <f>IF(BI8="","",INDEX(DIFFERENTIATION_UNMERGE_SYSTEM,MATCH(BI8,DIFFERENTIATION_ID_DIFF,0)))</f>
        <v>ГВС-открытая система на территории Владивостокского городского округа (05701000).</v>
      </c>
      <c r="BJ11" s="6"/>
      <c r="BK11" s="6" t="str">
        <f>IF(BK8="","",INDEX(DIFFERENTIATION_UNMERGE_SYSTEM,MATCH(BK8,DIFFERENTIATION_ID_DIFF,0)))</f>
        <v xml:space="preserve">ГВС-открытая система на территории Арсеньевский городской округ, (05703000);
</v>
      </c>
      <c r="BL11" s="6"/>
      <c r="BM11" s="6" t="str">
        <f>IF(BM8="","",INDEX(DIFFERENTIATION_UNMERGE_SYSTEM,MATCH(BM8,DIFFERENTIATION_ID_DIFF,0)))</f>
        <v xml:space="preserve">ГВС-открытая система на территории городской округ Большой Камень, (05706000);
</v>
      </c>
      <c r="BN11" s="6"/>
      <c r="BO11" s="6" t="str">
        <f>IF(BO8="","",INDEX(DIFFERENTIATION_UNMERGE_SYSTEM,MATCH(BO8,DIFFERENTIATION_ID_DIFF,0)))</f>
        <v>Артемовский городской округ</v>
      </c>
      <c r="BP11" s="6"/>
      <c r="BQ11" s="6" t="str">
        <f>IF(BQ8="","",INDEX(DIFFERENTIATION_UNMERGE_SYSTEM,MATCH(BQ8,DIFFERENTIATION_ID_DIFF,0)))</f>
        <v>Надеждинский муниципальный район</v>
      </c>
      <c r="BR11" s="6"/>
      <c r="BS11" s="6" t="str">
        <f>IF(BS8="","",INDEX(DIFFERENTIATION_UNMERGE_SYSTEM,MATCH(BS8,DIFFERENTIATION_ID_DIFF,0)))</f>
        <v>Приморское городское поселение</v>
      </c>
      <c r="BT11" s="6"/>
      <c r="BU11" s="6" t="str">
        <f>IF(BU8="","",INDEX(DIFFERENTIATION_UNMERGE_SYSTEM,MATCH(BU8,DIFFERENTIATION_ID_DIFF,0)))</f>
        <v xml:space="preserve">Безверховское сельское поселение </v>
      </c>
      <c r="BV11" s="6"/>
      <c r="BW11" s="6"/>
    </row>
    <row r="12" spans="4:75" ht="15" customHeight="1" x14ac:dyDescent="0.15">
      <c r="D12" s="6" t="s">
        <v>593</v>
      </c>
      <c r="E12" s="6"/>
      <c r="F12" s="6"/>
      <c r="BW12" s="6"/>
    </row>
    <row r="13" spans="4:75" ht="33.75" customHeight="1" x14ac:dyDescent="0.15">
      <c r="D13" t="s">
        <v>75</v>
      </c>
      <c r="E13" t="s">
        <v>595</v>
      </c>
      <c r="F13" t="s">
        <v>1859</v>
      </c>
      <c r="G13" t="s">
        <v>596</v>
      </c>
      <c r="H13" t="s">
        <v>685</v>
      </c>
      <c r="I13" t="s">
        <v>596</v>
      </c>
      <c r="J13" t="s">
        <v>685</v>
      </c>
      <c r="K13" t="s">
        <v>596</v>
      </c>
      <c r="L13" t="s">
        <v>685</v>
      </c>
      <c r="M13" t="s">
        <v>596</v>
      </c>
      <c r="N13" t="s">
        <v>685</v>
      </c>
      <c r="O13" t="s">
        <v>596</v>
      </c>
      <c r="P13" t="s">
        <v>685</v>
      </c>
      <c r="Q13" t="s">
        <v>596</v>
      </c>
      <c r="R13" t="s">
        <v>685</v>
      </c>
      <c r="S13" t="s">
        <v>596</v>
      </c>
      <c r="T13" t="s">
        <v>685</v>
      </c>
      <c r="U13" t="s">
        <v>596</v>
      </c>
      <c r="V13" t="s">
        <v>685</v>
      </c>
      <c r="W13" t="s">
        <v>596</v>
      </c>
      <c r="X13" t="s">
        <v>685</v>
      </c>
      <c r="Y13" t="s">
        <v>596</v>
      </c>
      <c r="Z13" t="s">
        <v>685</v>
      </c>
      <c r="AA13" t="s">
        <v>596</v>
      </c>
      <c r="AB13" t="s">
        <v>685</v>
      </c>
      <c r="AC13" t="s">
        <v>596</v>
      </c>
      <c r="AD13" t="s">
        <v>685</v>
      </c>
      <c r="AE13" t="s">
        <v>596</v>
      </c>
      <c r="AF13" t="s">
        <v>685</v>
      </c>
      <c r="AG13" t="s">
        <v>596</v>
      </c>
      <c r="AH13" t="s">
        <v>685</v>
      </c>
      <c r="AI13" t="s">
        <v>596</v>
      </c>
      <c r="AJ13" t="s">
        <v>685</v>
      </c>
      <c r="AK13" t="s">
        <v>596</v>
      </c>
      <c r="AL13" t="s">
        <v>685</v>
      </c>
      <c r="AM13" t="s">
        <v>596</v>
      </c>
      <c r="AN13" t="s">
        <v>685</v>
      </c>
      <c r="AO13" t="s">
        <v>596</v>
      </c>
      <c r="AP13" t="s">
        <v>685</v>
      </c>
      <c r="AQ13" t="s">
        <v>596</v>
      </c>
      <c r="AR13" t="s">
        <v>685</v>
      </c>
      <c r="AS13" t="s">
        <v>596</v>
      </c>
      <c r="AT13" t="s">
        <v>685</v>
      </c>
      <c r="AU13" t="s">
        <v>596</v>
      </c>
      <c r="AV13" t="s">
        <v>685</v>
      </c>
      <c r="AW13" t="s">
        <v>596</v>
      </c>
      <c r="AX13" t="s">
        <v>685</v>
      </c>
      <c r="AY13" t="s">
        <v>596</v>
      </c>
      <c r="AZ13" t="s">
        <v>685</v>
      </c>
      <c r="BA13" t="s">
        <v>596</v>
      </c>
      <c r="BB13" t="s">
        <v>685</v>
      </c>
      <c r="BC13" t="s">
        <v>596</v>
      </c>
      <c r="BD13" t="s">
        <v>685</v>
      </c>
      <c r="BE13" t="s">
        <v>596</v>
      </c>
      <c r="BF13" t="s">
        <v>685</v>
      </c>
      <c r="BG13" t="s">
        <v>596</v>
      </c>
      <c r="BH13" t="s">
        <v>685</v>
      </c>
      <c r="BI13" t="s">
        <v>596</v>
      </c>
      <c r="BJ13" t="s">
        <v>685</v>
      </c>
      <c r="BK13" t="s">
        <v>596</v>
      </c>
      <c r="BL13" t="s">
        <v>685</v>
      </c>
      <c r="BM13" t="s">
        <v>596</v>
      </c>
      <c r="BN13" t="s">
        <v>685</v>
      </c>
      <c r="BO13" t="s">
        <v>596</v>
      </c>
      <c r="BP13" t="s">
        <v>685</v>
      </c>
      <c r="BQ13" t="s">
        <v>596</v>
      </c>
      <c r="BR13" t="s">
        <v>685</v>
      </c>
      <c r="BS13" t="s">
        <v>596</v>
      </c>
      <c r="BT13" t="s">
        <v>685</v>
      </c>
      <c r="BU13" t="s">
        <v>596</v>
      </c>
      <c r="BV13" t="s">
        <v>685</v>
      </c>
      <c r="BW13" s="6"/>
    </row>
    <row r="14" spans="4:75" ht="15" hidden="1" customHeight="1" x14ac:dyDescent="0.15">
      <c r="D14" t="s">
        <v>165</v>
      </c>
      <c r="E14" t="s">
        <v>89</v>
      </c>
      <c r="F14" t="s">
        <v>77</v>
      </c>
      <c r="G14" t="str">
        <f>G1&amp;".1"</f>
        <v>4.1</v>
      </c>
      <c r="I14" t="str">
        <f>I1&amp;".1"</f>
        <v>4.1</v>
      </c>
      <c r="K14" t="str">
        <f>K1&amp;".1"</f>
        <v>4.1</v>
      </c>
      <c r="M14" t="str">
        <f>M1&amp;".1"</f>
        <v>4.1</v>
      </c>
      <c r="O14" t="str">
        <f>O1&amp;".1"</f>
        <v>4.1</v>
      </c>
      <c r="Q14" t="str">
        <f>Q1&amp;".1"</f>
        <v>4.1</v>
      </c>
      <c r="S14" t="str">
        <f>S1&amp;".1"</f>
        <v>4.1</v>
      </c>
      <c r="U14" t="str">
        <f>U1&amp;".1"</f>
        <v>4.1</v>
      </c>
      <c r="W14" t="str">
        <f>W1&amp;".1"</f>
        <v>4.1</v>
      </c>
      <c r="Y14" t="str">
        <f>Y1&amp;".1"</f>
        <v>4.1</v>
      </c>
      <c r="AA14" t="str">
        <f>AA1&amp;".1"</f>
        <v>4.1</v>
      </c>
      <c r="AC14" t="str">
        <f>AC1&amp;".1"</f>
        <v>4.1</v>
      </c>
      <c r="AE14" t="str">
        <f>AE1&amp;".1"</f>
        <v>4.1</v>
      </c>
      <c r="AG14" t="str">
        <f>AG1&amp;".1"</f>
        <v>4.1</v>
      </c>
      <c r="AI14" t="str">
        <f>AI1&amp;".1"</f>
        <v>4.1</v>
      </c>
      <c r="AK14" t="str">
        <f>AK1&amp;".1"</f>
        <v>4.1</v>
      </c>
      <c r="AM14" t="str">
        <f>AM1&amp;".1"</f>
        <v>4.1</v>
      </c>
      <c r="AO14" t="str">
        <f>AO1&amp;".1"</f>
        <v>4.1</v>
      </c>
      <c r="AQ14" t="str">
        <f>AQ1&amp;".1"</f>
        <v>4.1</v>
      </c>
      <c r="AS14" t="str">
        <f>AS1&amp;".1"</f>
        <v>4.1</v>
      </c>
      <c r="AU14" t="str">
        <f>AU1&amp;".1"</f>
        <v>4.1</v>
      </c>
      <c r="AW14" t="str">
        <f>AW1&amp;".1"</f>
        <v>4.1</v>
      </c>
      <c r="AY14" t="str">
        <f>AY1&amp;".1"</f>
        <v>4.1</v>
      </c>
      <c r="BA14" t="str">
        <f>BA1&amp;".1"</f>
        <v>4.1</v>
      </c>
      <c r="BC14" t="str">
        <f>BC1&amp;".1"</f>
        <v>4.1</v>
      </c>
      <c r="BE14" t="str">
        <f>BE1&amp;".1"</f>
        <v>4.1</v>
      </c>
      <c r="BG14" t="str">
        <f>BG1&amp;".1"</f>
        <v>4.1</v>
      </c>
      <c r="BI14" t="str">
        <f>BI1&amp;".1"</f>
        <v>4.1</v>
      </c>
      <c r="BK14" t="str">
        <f>BK1&amp;".1"</f>
        <v>4.1</v>
      </c>
      <c r="BM14" t="str">
        <f>BM1&amp;".1"</f>
        <v>4.1</v>
      </c>
      <c r="BO14" t="str">
        <f>BO1&amp;".1"</f>
        <v>4.1</v>
      </c>
      <c r="BQ14" t="str">
        <f>BQ1&amp;".1"</f>
        <v>4.1</v>
      </c>
      <c r="BS14" t="str">
        <f>BS1&amp;".1"</f>
        <v>4.1</v>
      </c>
      <c r="BU14" t="str">
        <f>BU1&amp;".1"</f>
        <v>4.1</v>
      </c>
    </row>
    <row r="15" spans="4:75" ht="22.5" hidden="1" customHeight="1" x14ac:dyDescent="0.15">
      <c r="D15">
        <v>1</v>
      </c>
      <c r="E15" t="s">
        <v>1860</v>
      </c>
      <c r="F15" t="s">
        <v>1861</v>
      </c>
      <c r="BW15" t="s">
        <v>1862</v>
      </c>
    </row>
    <row r="16" spans="4:75" ht="22.5" hidden="1" customHeight="1" x14ac:dyDescent="0.15">
      <c r="D16">
        <v>2</v>
      </c>
      <c r="E16" t="s">
        <v>1863</v>
      </c>
      <c r="F16" t="s">
        <v>1864</v>
      </c>
      <c r="BW16" t="s">
        <v>1865</v>
      </c>
    </row>
    <row r="17" spans="4:75" ht="123.75" hidden="1" customHeight="1" x14ac:dyDescent="0.15">
      <c r="D17">
        <v>3</v>
      </c>
      <c r="E17" t="s">
        <v>1866</v>
      </c>
      <c r="F17" t="s">
        <v>599</v>
      </c>
      <c r="BW17" t="s">
        <v>1867</v>
      </c>
    </row>
    <row r="18" spans="4:75" ht="45" customHeight="1" x14ac:dyDescent="0.15">
      <c r="D18">
        <v>4</v>
      </c>
      <c r="E18" t="s">
        <v>1868</v>
      </c>
      <c r="F18" t="s">
        <v>599</v>
      </c>
      <c r="G18" t="s">
        <v>599</v>
      </c>
      <c r="H18" t="s">
        <v>599</v>
      </c>
      <c r="I18" t="s">
        <v>599</v>
      </c>
      <c r="J18" t="s">
        <v>599</v>
      </c>
      <c r="K18" t="s">
        <v>599</v>
      </c>
      <c r="L18" t="s">
        <v>599</v>
      </c>
      <c r="M18" t="s">
        <v>599</v>
      </c>
      <c r="N18" t="s">
        <v>599</v>
      </c>
      <c r="O18" t="s">
        <v>599</v>
      </c>
      <c r="P18" t="s">
        <v>599</v>
      </c>
      <c r="Q18" t="s">
        <v>599</v>
      </c>
      <c r="R18" t="s">
        <v>599</v>
      </c>
      <c r="S18" t="s">
        <v>599</v>
      </c>
      <c r="T18" t="s">
        <v>599</v>
      </c>
      <c r="U18" t="s">
        <v>599</v>
      </c>
      <c r="V18" t="s">
        <v>599</v>
      </c>
      <c r="W18" t="s">
        <v>599</v>
      </c>
      <c r="X18" t="s">
        <v>599</v>
      </c>
      <c r="Y18" t="s">
        <v>599</v>
      </c>
      <c r="Z18" t="s">
        <v>599</v>
      </c>
      <c r="AA18" t="s">
        <v>599</v>
      </c>
      <c r="AB18" t="s">
        <v>599</v>
      </c>
      <c r="AC18" t="s">
        <v>599</v>
      </c>
      <c r="AD18" t="s">
        <v>599</v>
      </c>
      <c r="AE18" t="s">
        <v>599</v>
      </c>
      <c r="AF18" t="s">
        <v>599</v>
      </c>
      <c r="AG18" t="s">
        <v>599</v>
      </c>
      <c r="AH18" t="s">
        <v>599</v>
      </c>
      <c r="AI18" t="s">
        <v>599</v>
      </c>
      <c r="AJ18" t="s">
        <v>599</v>
      </c>
      <c r="AK18" t="s">
        <v>599</v>
      </c>
      <c r="AL18" t="s">
        <v>599</v>
      </c>
      <c r="AM18" t="s">
        <v>599</v>
      </c>
      <c r="AN18" t="s">
        <v>599</v>
      </c>
      <c r="AO18" t="s">
        <v>599</v>
      </c>
      <c r="AP18" t="s">
        <v>599</v>
      </c>
      <c r="AQ18" t="s">
        <v>599</v>
      </c>
      <c r="AR18" t="s">
        <v>599</v>
      </c>
      <c r="AS18" t="s">
        <v>599</v>
      </c>
      <c r="AT18" t="s">
        <v>599</v>
      </c>
      <c r="AU18" t="s">
        <v>599</v>
      </c>
      <c r="AV18" t="s">
        <v>599</v>
      </c>
      <c r="AW18" t="s">
        <v>599</v>
      </c>
      <c r="AX18" t="s">
        <v>599</v>
      </c>
      <c r="AY18" t="s">
        <v>599</v>
      </c>
      <c r="AZ18" t="s">
        <v>599</v>
      </c>
      <c r="BA18" t="s">
        <v>599</v>
      </c>
      <c r="BB18" t="s">
        <v>599</v>
      </c>
      <c r="BC18" t="s">
        <v>599</v>
      </c>
      <c r="BD18" t="s">
        <v>599</v>
      </c>
      <c r="BE18" t="s">
        <v>599</v>
      </c>
      <c r="BF18" t="s">
        <v>599</v>
      </c>
      <c r="BG18" t="s">
        <v>599</v>
      </c>
      <c r="BH18" t="s">
        <v>599</v>
      </c>
      <c r="BI18" t="s">
        <v>599</v>
      </c>
      <c r="BJ18" t="s">
        <v>599</v>
      </c>
      <c r="BK18" t="s">
        <v>599</v>
      </c>
      <c r="BL18" t="s">
        <v>599</v>
      </c>
      <c r="BM18" t="s">
        <v>599</v>
      </c>
      <c r="BN18" t="s">
        <v>599</v>
      </c>
      <c r="BO18" t="s">
        <v>599</v>
      </c>
      <c r="BP18" t="s">
        <v>599</v>
      </c>
      <c r="BQ18" t="s">
        <v>599</v>
      </c>
      <c r="BR18" t="s">
        <v>599</v>
      </c>
      <c r="BS18" t="s">
        <v>599</v>
      </c>
      <c r="BT18" t="s">
        <v>599</v>
      </c>
      <c r="BU18" t="s">
        <v>599</v>
      </c>
      <c r="BV18" t="s">
        <v>599</v>
      </c>
      <c r="BW18" t="s">
        <v>1869</v>
      </c>
    </row>
    <row r="19" spans="4:75" ht="33.75" customHeight="1" x14ac:dyDescent="0.15">
      <c r="D19" t="s">
        <v>907</v>
      </c>
      <c r="E19" t="s">
        <v>1870</v>
      </c>
      <c r="F19" t="s">
        <v>1871</v>
      </c>
    </row>
    <row r="20" spans="4:75" ht="33.75" customHeight="1" x14ac:dyDescent="0.15">
      <c r="D20" t="s">
        <v>926</v>
      </c>
      <c r="E20" t="s">
        <v>1872</v>
      </c>
      <c r="F20" t="s">
        <v>1873</v>
      </c>
    </row>
    <row r="21" spans="4:75" ht="45" customHeight="1" x14ac:dyDescent="0.15">
      <c r="D21" t="s">
        <v>1874</v>
      </c>
      <c r="E21" t="s">
        <v>1875</v>
      </c>
      <c r="F21" t="s">
        <v>1876</v>
      </c>
    </row>
    <row r="22" spans="4:75" ht="67.5" hidden="1" customHeight="1" x14ac:dyDescent="0.15">
      <c r="D22">
        <v>5</v>
      </c>
      <c r="E22" t="s">
        <v>1877</v>
      </c>
      <c r="F22" t="s">
        <v>1878</v>
      </c>
      <c r="BW22" t="s">
        <v>1879</v>
      </c>
    </row>
    <row r="23" spans="4:75" ht="33.75" hidden="1" customHeight="1" x14ac:dyDescent="0.15">
      <c r="D23">
        <v>6</v>
      </c>
      <c r="E23" t="s">
        <v>1880</v>
      </c>
      <c r="F23" t="s">
        <v>1881</v>
      </c>
      <c r="BW23" t="s">
        <v>1882</v>
      </c>
    </row>
  </sheetData>
  <sheetProtection formatColumns="0" formatRows="0" insertRows="0" deleteColumns="0" deleteRows="0" sort="0" autoFilter="0"/>
  <mergeCells count="109">
    <mergeCell ref="D5:J5"/>
    <mergeCell ref="D6:J6"/>
    <mergeCell ref="BW9:B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U9:BV9"/>
    <mergeCell ref="BU10:BV10"/>
    <mergeCell ref="BU11:BV11"/>
    <mergeCell ref="BO9:BP9"/>
    <mergeCell ref="BO10:BP10"/>
    <mergeCell ref="BO11:BP11"/>
    <mergeCell ref="BQ9:BR9"/>
    <mergeCell ref="BQ10:BR10"/>
    <mergeCell ref="BQ11:BR11"/>
    <mergeCell ref="BS9:BT9"/>
    <mergeCell ref="BS10:BT10"/>
    <mergeCell ref="BS11:BT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O22"/>
  <sheetViews>
    <sheetView showGridLines="0" topLeftCell="C4" zoomScale="90" workbookViewId="0">
      <selection activeCell="AN8" sqref="AN8"/>
    </sheetView>
  </sheetViews>
  <sheetFormatPr defaultColWidth="10.5703125" defaultRowHeight="15" customHeight="1" x14ac:dyDescent="0.15"/>
  <cols>
    <col min="1" max="2" width="9.140625" hidden="1" customWidth="1"/>
    <col min="3" max="3" width="4.7109375" customWidth="1"/>
    <col min="4" max="4" width="6.28515625" customWidth="1"/>
    <col min="5" max="5" width="36.7109375" customWidth="1"/>
    <col min="6" max="6" width="9.5703125" customWidth="1"/>
    <col min="7" max="7" width="42.42578125" hidden="1" customWidth="1"/>
    <col min="8" max="8" width="40.7109375" customWidth="1"/>
    <col min="9" max="40" width="42.42578125" customWidth="1"/>
    <col min="41" max="41" width="93.42578125" customWidth="1"/>
  </cols>
  <sheetData>
    <row r="1" spans="4:41" ht="15" hidden="1" customHeight="1" x14ac:dyDescent="0.15">
      <c r="H1">
        <v>4</v>
      </c>
    </row>
    <row r="2" spans="4:41" ht="22.5" hidden="1" customHeight="1" x14ac:dyDescent="0.15">
      <c r="F2" t="str">
        <f>IF(TEMPLATE_SPHERE="HEAT","Гкал/час","тыс. куб. м/сутки")</f>
        <v>Гкал/час</v>
      </c>
    </row>
    <row r="3" spans="4:41" ht="15" hidden="1" customHeight="1" x14ac:dyDescent="0.15"/>
    <row r="5" spans="4:41" ht="47.25" customHeight="1" x14ac:dyDescent="0.15">
      <c r="D5" s="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6"/>
      <c r="F5" s="6"/>
      <c r="G5" s="6"/>
      <c r="H5" s="6"/>
    </row>
    <row r="6" spans="4:41" ht="15" customHeight="1" x14ac:dyDescent="0.15">
      <c r="D6" s="6" t="str">
        <f>IF(org=0,"Не определено",org)</f>
        <v>КГУП "Примтеплоэнерго"</v>
      </c>
      <c r="E6" s="6"/>
      <c r="F6" s="6"/>
      <c r="G6" s="6"/>
      <c r="H6" s="6"/>
    </row>
    <row r="7" spans="4:41" ht="15" customHeight="1" x14ac:dyDescent="0.15">
      <c r="I7" t="s">
        <v>4</v>
      </c>
      <c r="J7" t="s">
        <v>4</v>
      </c>
      <c r="K7" t="s">
        <v>4</v>
      </c>
      <c r="L7" t="s">
        <v>4</v>
      </c>
      <c r="M7" t="s">
        <v>4</v>
      </c>
      <c r="N7" t="s">
        <v>4</v>
      </c>
      <c r="O7" t="s">
        <v>4</v>
      </c>
      <c r="P7" t="s">
        <v>4</v>
      </c>
      <c r="Q7" t="s">
        <v>4</v>
      </c>
      <c r="R7" t="s">
        <v>4</v>
      </c>
      <c r="S7" t="s">
        <v>4</v>
      </c>
      <c r="T7" t="s">
        <v>4</v>
      </c>
      <c r="U7" t="s">
        <v>4</v>
      </c>
      <c r="V7" t="s">
        <v>4</v>
      </c>
      <c r="W7" t="s">
        <v>4</v>
      </c>
      <c r="X7" t="s">
        <v>4</v>
      </c>
      <c r="Y7" t="s">
        <v>4</v>
      </c>
      <c r="Z7" t="s">
        <v>4</v>
      </c>
      <c r="AA7" t="s">
        <v>4</v>
      </c>
      <c r="AB7" t="s">
        <v>4</v>
      </c>
      <c r="AC7" t="s">
        <v>4</v>
      </c>
      <c r="AD7" t="s">
        <v>4</v>
      </c>
      <c r="AE7" t="s">
        <v>4</v>
      </c>
      <c r="AF7" t="s">
        <v>4</v>
      </c>
      <c r="AG7" t="s">
        <v>4</v>
      </c>
      <c r="AH7" t="s">
        <v>4</v>
      </c>
      <c r="AI7" t="s">
        <v>4</v>
      </c>
      <c r="AJ7" t="s">
        <v>4</v>
      </c>
      <c r="AK7" t="s">
        <v>4</v>
      </c>
      <c r="AL7" t="s">
        <v>4</v>
      </c>
      <c r="AM7" t="s">
        <v>4</v>
      </c>
      <c r="AN7" t="s">
        <v>4</v>
      </c>
    </row>
    <row r="8" spans="4:41" ht="0.75" customHeight="1" x14ac:dyDescent="0.15">
      <c r="H8" t="s">
        <v>364</v>
      </c>
      <c r="I8" t="s">
        <v>368</v>
      </c>
      <c r="J8" t="s">
        <v>370</v>
      </c>
      <c r="K8" t="s">
        <v>372</v>
      </c>
      <c r="L8" t="s">
        <v>374</v>
      </c>
      <c r="M8" t="s">
        <v>376</v>
      </c>
      <c r="N8" t="s">
        <v>378</v>
      </c>
      <c r="O8" t="s">
        <v>380</v>
      </c>
      <c r="P8" t="s">
        <v>382</v>
      </c>
      <c r="Q8" t="s">
        <v>384</v>
      </c>
      <c r="R8" t="s">
        <v>386</v>
      </c>
      <c r="S8" t="s">
        <v>388</v>
      </c>
      <c r="T8" t="s">
        <v>390</v>
      </c>
      <c r="U8" t="s">
        <v>402</v>
      </c>
      <c r="V8" t="s">
        <v>427</v>
      </c>
      <c r="W8" t="s">
        <v>404</v>
      </c>
      <c r="X8" t="s">
        <v>406</v>
      </c>
      <c r="Y8" t="s">
        <v>408</v>
      </c>
      <c r="Z8" t="s">
        <v>410</v>
      </c>
      <c r="AA8" t="s">
        <v>412</v>
      </c>
      <c r="AB8" t="s">
        <v>413</v>
      </c>
      <c r="AC8" t="s">
        <v>415</v>
      </c>
      <c r="AD8" t="s">
        <v>416</v>
      </c>
      <c r="AE8" t="s">
        <v>418</v>
      </c>
      <c r="AF8" t="s">
        <v>419</v>
      </c>
      <c r="AG8" t="s">
        <v>392</v>
      </c>
      <c r="AH8" t="s">
        <v>394</v>
      </c>
      <c r="AI8" t="s">
        <v>396</v>
      </c>
      <c r="AJ8" t="s">
        <v>398</v>
      </c>
      <c r="AK8" t="s">
        <v>420</v>
      </c>
      <c r="AL8" t="s">
        <v>421</v>
      </c>
      <c r="AM8" t="s">
        <v>423</v>
      </c>
      <c r="AN8" t="s">
        <v>425</v>
      </c>
    </row>
    <row r="9" spans="4:41" ht="15" customHeight="1" x14ac:dyDescent="0.15">
      <c r="E9" s="6" t="s">
        <v>355</v>
      </c>
      <c r="F9" s="6"/>
      <c r="G9" t="str">
        <f t="shared" ref="G9:AN9" si="0">IF(G8="","",INDEX(DIFFERENTIATION_UNMERGE_VD,MATCH(G8,DIFFERENTIATION_ID_DIFF,0)))</f>
        <v/>
      </c>
      <c r="H9" t="str">
        <f t="shared" si="0"/>
        <v>Производство тепловой энергии. Некомбинированная выработка</v>
      </c>
      <c r="I9" t="str">
        <f t="shared" si="0"/>
        <v>Производство тепловой энергии. Некомбинированная выработка</v>
      </c>
      <c r="J9" t="str">
        <f t="shared" si="0"/>
        <v>Производство тепловой энергии. Некомбинированная выработка</v>
      </c>
      <c r="K9" t="str">
        <f t="shared" si="0"/>
        <v>Производство тепловой энергии. Некомбинированная выработка</v>
      </c>
      <c r="L9" t="str">
        <f t="shared" si="0"/>
        <v>Производство тепловой энергии. Некомбинированная выработка</v>
      </c>
      <c r="M9" t="str">
        <f t="shared" si="0"/>
        <v>Производство тепловой энергии. Некомбинированная выработка</v>
      </c>
      <c r="N9" t="str">
        <f t="shared" si="0"/>
        <v>Производство тепловой энергии. Некомбинированная выработка</v>
      </c>
      <c r="O9" t="str">
        <f t="shared" si="0"/>
        <v>Производство тепловой энергии. Некомбинированная выработка</v>
      </c>
      <c r="P9" t="str">
        <f t="shared" si="0"/>
        <v>Производство тепловой энергии. Некомбинированная выработка</v>
      </c>
      <c r="Q9" t="str">
        <f t="shared" si="0"/>
        <v>Производство тепловой энергии. Некомбинированная выработка</v>
      </c>
      <c r="R9" t="str">
        <f t="shared" si="0"/>
        <v>Производство тепловой энергии. Некомбинированная выработка</v>
      </c>
      <c r="S9" t="str">
        <f t="shared" si="0"/>
        <v>Производство тепловой энергии. Некомбинированная выработка</v>
      </c>
      <c r="T9" t="str">
        <f t="shared" si="0"/>
        <v>Производство тепловой энергии. Некомбинированная выработка</v>
      </c>
      <c r="U9" t="str">
        <f t="shared" si="0"/>
        <v>Подключение (технологическое присоединение) к системе теплоснабжения</v>
      </c>
      <c r="V9" t="str">
        <f t="shared" si="0"/>
        <v>Передача. Тепловая энергия</v>
      </c>
      <c r="W9" t="str">
        <f t="shared" si="0"/>
        <v>Подключение (технологическое присоединение) к системе теплоснабжения</v>
      </c>
      <c r="X9" t="str">
        <f t="shared" si="0"/>
        <v>Подключение (технологическое присоединение) к системе теплоснабжения</v>
      </c>
      <c r="Y9" t="str">
        <f t="shared" si="0"/>
        <v>Подключение (технологическое присоединение) к системе теплоснабжения</v>
      </c>
      <c r="Z9" t="str">
        <f t="shared" si="0"/>
        <v>Подключение (технологическое присоединение) к системе теплоснабжения</v>
      </c>
      <c r="AA9" t="str">
        <f t="shared" si="0"/>
        <v>Подключение (технологическое присоединение) к системе теплоснабжения</v>
      </c>
      <c r="AB9" t="str">
        <f t="shared" si="0"/>
        <v>Подключение (технологическое присоединение) к системе теплоснабжения</v>
      </c>
      <c r="AC9" t="str">
        <f t="shared" si="0"/>
        <v>Подключение (технологическое присоединение) к системе теплоснабжения</v>
      </c>
      <c r="AD9" t="str">
        <f t="shared" si="0"/>
        <v>Подключение (технологическое присоединение) к системе теплоснабжения</v>
      </c>
      <c r="AE9" t="str">
        <f t="shared" si="0"/>
        <v>Подключение (технологическое присоединение) к системе теплоснабжения</v>
      </c>
      <c r="AF9" t="str">
        <f t="shared" si="0"/>
        <v>Подключение (технологическое присоединение) к системе теплоснабжения</v>
      </c>
      <c r="AG9" t="str">
        <f t="shared" si="0"/>
        <v>Производство тепловой энергии. Некомбинированная выработка</v>
      </c>
      <c r="AH9" t="str">
        <f t="shared" si="0"/>
        <v>Производство тепловой энергии. Некомбинированная выработка</v>
      </c>
      <c r="AI9" t="str">
        <f t="shared" si="0"/>
        <v>Производство тепловой энергии. Некомбинированная выработка</v>
      </c>
      <c r="AJ9" t="str">
        <f t="shared" si="0"/>
        <v>Производство тепловой энергии. Некомбинированная выработка</v>
      </c>
      <c r="AK9" t="str">
        <f t="shared" si="0"/>
        <v>Подключение (технологическое присоединение) к системе теплоснабжения</v>
      </c>
      <c r="AL9" t="str">
        <f t="shared" si="0"/>
        <v>Подключение (технологическое присоединение) к системе теплоснабжения</v>
      </c>
      <c r="AM9" t="str">
        <f t="shared" si="0"/>
        <v>Подключение (технологическое присоединение) к системе теплоснабжения</v>
      </c>
      <c r="AN9" t="str">
        <f t="shared" si="0"/>
        <v>Подключение (технологическое присоединение) к системе теплоснабжения</v>
      </c>
      <c r="AO9" s="6" t="s">
        <v>594</v>
      </c>
    </row>
    <row r="10" spans="4:41" ht="15" customHeight="1" x14ac:dyDescent="0.15">
      <c r="E10" s="6" t="s">
        <v>1680</v>
      </c>
      <c r="F10" s="6"/>
      <c r="G10" t="str">
        <f t="shared" ref="G10:AN10" si="1">IF(G8="","",INDEX(DIFFERENTIATION_UNMERGE_AREA,MATCH(G8,DIFFERENTIATION_ID_DIFF,0)))</f>
        <v/>
      </c>
      <c r="H10" t="str">
        <f t="shared" si="1"/>
        <v>без дифференциации</v>
      </c>
      <c r="I10" t="str">
        <f t="shared" si="1"/>
        <v>без дифференциации</v>
      </c>
      <c r="J10" t="str">
        <f t="shared" si="1"/>
        <v>без дифференциации</v>
      </c>
      <c r="K10" t="str">
        <f t="shared" si="1"/>
        <v>без дифференциации</v>
      </c>
      <c r="L10" t="str">
        <f t="shared" si="1"/>
        <v>без дифференциации</v>
      </c>
      <c r="M10" t="str">
        <f t="shared" si="1"/>
        <v>без дифференциации</v>
      </c>
      <c r="N10" t="str">
        <f t="shared" si="1"/>
        <v>без дифференциации</v>
      </c>
      <c r="O10" t="str">
        <f t="shared" si="1"/>
        <v>без дифференциации</v>
      </c>
      <c r="P10" t="str">
        <f t="shared" si="1"/>
        <v>без дифференциации</v>
      </c>
      <c r="Q10" t="str">
        <f t="shared" si="1"/>
        <v>без дифференциации</v>
      </c>
      <c r="R10" t="str">
        <f t="shared" si="1"/>
        <v>без дифференциации</v>
      </c>
      <c r="S10" t="str">
        <f t="shared" si="1"/>
        <v>без дифференциации</v>
      </c>
      <c r="T10" t="str">
        <f t="shared" si="1"/>
        <v>без дифференциации</v>
      </c>
      <c r="U10" t="str">
        <f t="shared" si="1"/>
        <v>Территория 33</v>
      </c>
      <c r="V10" t="str">
        <f t="shared" si="1"/>
        <v>Территория 1</v>
      </c>
      <c r="W10" t="str">
        <f t="shared" si="1"/>
        <v>Территория 25</v>
      </c>
      <c r="X10" t="str">
        <f t="shared" si="1"/>
        <v>Территория 10</v>
      </c>
      <c r="Y10" t="str">
        <f t="shared" si="1"/>
        <v>Территория 9</v>
      </c>
      <c r="Z10" t="str">
        <f t="shared" si="1"/>
        <v>Территория 4</v>
      </c>
      <c r="AA10" t="str">
        <f t="shared" si="1"/>
        <v>Территория 21</v>
      </c>
      <c r="AB10" t="str">
        <f t="shared" si="1"/>
        <v>Территория 16</v>
      </c>
      <c r="AC10" t="str">
        <f t="shared" si="1"/>
        <v>Территория 22</v>
      </c>
      <c r="AD10" t="str">
        <f t="shared" si="1"/>
        <v>Территория 7</v>
      </c>
      <c r="AE10" t="str">
        <f t="shared" si="1"/>
        <v>Территория 15</v>
      </c>
      <c r="AF10" t="str">
        <f t="shared" si="1"/>
        <v>Территория 32</v>
      </c>
      <c r="AG10" t="str">
        <f t="shared" si="1"/>
        <v>без дифференциации</v>
      </c>
      <c r="AH10" t="str">
        <f t="shared" si="1"/>
        <v>без дифференциации</v>
      </c>
      <c r="AI10" t="str">
        <f t="shared" si="1"/>
        <v>без дифференциации</v>
      </c>
      <c r="AJ10" t="str">
        <f t="shared" si="1"/>
        <v>без дифференциации</v>
      </c>
      <c r="AK10" t="str">
        <f t="shared" si="1"/>
        <v>Территория 1</v>
      </c>
      <c r="AL10" t="str">
        <f t="shared" si="1"/>
        <v>Территория 17</v>
      </c>
      <c r="AM10" t="str">
        <f t="shared" si="1"/>
        <v>Территория 23</v>
      </c>
      <c r="AN10" t="str">
        <f t="shared" si="1"/>
        <v>Территория 23</v>
      </c>
      <c r="AO10" s="6"/>
    </row>
    <row r="11" spans="4:41" ht="15" customHeight="1" x14ac:dyDescent="0.15">
      <c r="E11" s="6" t="s">
        <v>1681</v>
      </c>
      <c r="F11" s="6"/>
      <c r="G11" t="str">
        <f t="shared" ref="G11:AN11" si="2">IF(G8="","",INDEX(DIFFERENTIATION_UNMERGE_SYSTEM,MATCH(G8,DIFFERENTIATION_ID_DIFF,0)))</f>
        <v/>
      </c>
      <c r="H11" t="str">
        <f t="shared" si="2"/>
        <v>Единый тариф на тепловую энергию по Приморскому краю</v>
      </c>
      <c r="I11" t="str">
        <f t="shared" si="2"/>
        <v>Тариф на тепловую энергию по Арсеньевскому ГО</v>
      </c>
      <c r="J11" t="str">
        <f t="shared" si="2"/>
        <v xml:space="preserve">Тариф на тепловую энергию по городскому округгу Большой Камень
</v>
      </c>
      <c r="K11" t="str">
        <f t="shared" si="2"/>
        <v>ГВС-открытая система на территории Артемовский городской округ, Артемовский городской округ (05705000)</v>
      </c>
      <c r="L11" t="str">
        <f t="shared" si="2"/>
        <v>ГВС-открытая система на территории Дальнегорский городской округ, Дальнегорский городской округ (05707000);</v>
      </c>
      <c r="M11" t="str">
        <f t="shared" si="2"/>
        <v xml:space="preserve">ГВС-открытая система на территории Кавалеровский муниципальный район, Кавалеровский муниципальный район (05610000); </v>
      </c>
      <c r="N11" t="str">
        <f t="shared" si="2"/>
        <v xml:space="preserve">ГВС-открытая система на территории Кировский муниципальный район, Горноключевское гороское поселение (05612154); </v>
      </c>
      <c r="O11" t="str">
        <f t="shared" si="2"/>
        <v xml:space="preserve">ГВС-открытая система на территории Михайловский муниципальный район, Новошахтинское городское поселение (05620154); </v>
      </c>
      <c r="P11" t="str">
        <f t="shared" si="2"/>
        <v xml:space="preserve">ГВС-открытая система на территории Пожарский муниципальный район, Губеровское сельское поселение (05634407); </v>
      </c>
      <c r="Q11" t="str">
        <f t="shared" si="2"/>
        <v xml:space="preserve">ГВС-открытая система на территории Пожарский муниципальный район, Нагорненское сельское поселение (05634418); </v>
      </c>
      <c r="R11" t="str">
        <f t="shared" si="2"/>
        <v xml:space="preserve">ГВС-открытая система на территории Хасанский муниципальный район, Зарубинское городское поселение (05648153); </v>
      </c>
      <c r="S11" t="str">
        <f t="shared" si="2"/>
        <v xml:space="preserve">ГВС-открытая система на территории Хасанский муниципальный район, Славянское городское поселение (05648151); </v>
      </c>
      <c r="T11" t="str">
        <f t="shared" si="2"/>
        <v xml:space="preserve">ГВС-открытая система на территории Хорольский муниципальный район, Ярославское городское поселение (05650156); </v>
      </c>
      <c r="U11" t="str">
        <f t="shared" si="2"/>
        <v>Городской округ Большой Камень</v>
      </c>
      <c r="V11" t="str">
        <f t="shared" si="2"/>
        <v xml:space="preserve">Лесозаводский городской округ, Лесозаводский городской округ (05711000);
</v>
      </c>
      <c r="W11" t="str">
        <f t="shared" si="2"/>
        <v>Черниговский муниципальный район</v>
      </c>
      <c r="X11" t="str">
        <f t="shared" si="2"/>
        <v>Спасское МО</v>
      </c>
      <c r="Y11" t="str">
        <f t="shared" si="2"/>
        <v>Городской округ Спасск Дальний</v>
      </c>
      <c r="Z11" t="str">
        <f t="shared" si="2"/>
        <v>Дальнереченский  городской округ</v>
      </c>
      <c r="AA11" t="str">
        <f t="shared" si="2"/>
        <v>Пожарский муниципальное образование</v>
      </c>
      <c r="AB11" t="str">
        <f t="shared" si="2"/>
        <v>Михайловский муниципальный район</v>
      </c>
      <c r="AC11" t="str">
        <f t="shared" si="2"/>
        <v>Ханкайский муниципальный район</v>
      </c>
      <c r="AD11" t="str">
        <f t="shared" si="2"/>
        <v>Находкинский городской округ</v>
      </c>
      <c r="AE11" t="str">
        <f t="shared" si="2"/>
        <v>Лазовский МО</v>
      </c>
      <c r="AF11" t="str">
        <f t="shared" si="2"/>
        <v>Арсеньевский городской округ</v>
      </c>
      <c r="AG11" t="str">
        <f t="shared" si="2"/>
        <v xml:space="preserve">ГВС-открытая система на территории Шкотовский муниципальный район, Штыковское сельское поселение (05657432); </v>
      </c>
      <c r="AH11" t="str">
        <f t="shared" si="2"/>
        <v>ГВС-открытая система на территории Владивостокского городского округа (05701000).</v>
      </c>
      <c r="AI11" t="str">
        <f t="shared" si="2"/>
        <v xml:space="preserve">ГВС-открытая система на территории Арсеньевский городской округ, (05703000);
</v>
      </c>
      <c r="AJ11" t="str">
        <f t="shared" si="2"/>
        <v xml:space="preserve">ГВС-открытая система на территории городской округ Большой Камень, (05706000);
</v>
      </c>
      <c r="AK11" t="str">
        <f t="shared" si="2"/>
        <v>Артемовский городской округ</v>
      </c>
      <c r="AL11" t="str">
        <f t="shared" si="2"/>
        <v>Надеждинский муниципальный район</v>
      </c>
      <c r="AM11" t="str">
        <f t="shared" si="2"/>
        <v>Приморское городское поселение</v>
      </c>
      <c r="AN11" t="str">
        <f t="shared" si="2"/>
        <v xml:space="preserve">Безверховское сельское поселение </v>
      </c>
      <c r="AO11" s="6"/>
    </row>
    <row r="12" spans="4:41" ht="15" customHeight="1" x14ac:dyDescent="0.15">
      <c r="D12" s="6" t="s">
        <v>593</v>
      </c>
      <c r="E12" s="6"/>
      <c r="F12" s="6"/>
      <c r="AO12" s="6"/>
    </row>
    <row r="13" spans="4:41" ht="33.75" customHeight="1" x14ac:dyDescent="0.15">
      <c r="D13" t="s">
        <v>75</v>
      </c>
      <c r="E13" t="s">
        <v>595</v>
      </c>
      <c r="F13" t="s">
        <v>1859</v>
      </c>
      <c r="G13" t="s">
        <v>596</v>
      </c>
      <c r="H13" t="s">
        <v>596</v>
      </c>
      <c r="I13" t="s">
        <v>596</v>
      </c>
      <c r="J13" t="s">
        <v>596</v>
      </c>
      <c r="K13" t="s">
        <v>596</v>
      </c>
      <c r="L13" t="s">
        <v>596</v>
      </c>
      <c r="M13" t="s">
        <v>596</v>
      </c>
      <c r="N13" t="s">
        <v>596</v>
      </c>
      <c r="O13" t="s">
        <v>596</v>
      </c>
      <c r="P13" t="s">
        <v>596</v>
      </c>
      <c r="Q13" t="s">
        <v>596</v>
      </c>
      <c r="R13" t="s">
        <v>596</v>
      </c>
      <c r="S13" t="s">
        <v>596</v>
      </c>
      <c r="T13" t="s">
        <v>596</v>
      </c>
      <c r="U13" t="s">
        <v>596</v>
      </c>
      <c r="V13" t="s">
        <v>596</v>
      </c>
      <c r="W13" t="s">
        <v>596</v>
      </c>
      <c r="X13" t="s">
        <v>596</v>
      </c>
      <c r="Y13" t="s">
        <v>596</v>
      </c>
      <c r="Z13" t="s">
        <v>596</v>
      </c>
      <c r="AA13" t="s">
        <v>596</v>
      </c>
      <c r="AB13" t="s">
        <v>596</v>
      </c>
      <c r="AC13" t="s">
        <v>596</v>
      </c>
      <c r="AD13" t="s">
        <v>596</v>
      </c>
      <c r="AE13" t="s">
        <v>596</v>
      </c>
      <c r="AF13" t="s">
        <v>596</v>
      </c>
      <c r="AG13" t="s">
        <v>596</v>
      </c>
      <c r="AH13" t="s">
        <v>596</v>
      </c>
      <c r="AI13" t="s">
        <v>596</v>
      </c>
      <c r="AJ13" t="s">
        <v>596</v>
      </c>
      <c r="AK13" t="s">
        <v>596</v>
      </c>
      <c r="AL13" t="s">
        <v>596</v>
      </c>
      <c r="AM13" t="s">
        <v>596</v>
      </c>
      <c r="AN13" t="s">
        <v>596</v>
      </c>
      <c r="AO13" s="6"/>
    </row>
    <row r="14" spans="4:41" ht="15" hidden="1" customHeight="1" x14ac:dyDescent="0.15">
      <c r="D14" t="s">
        <v>165</v>
      </c>
      <c r="E14" t="s">
        <v>89</v>
      </c>
      <c r="F14" t="s">
        <v>77</v>
      </c>
      <c r="G14" t="str">
        <f t="shared" ref="G14:AN14" si="3">G1&amp;".1"</f>
        <v>.1</v>
      </c>
      <c r="H14" t="str">
        <f t="shared" si="3"/>
        <v>4.1</v>
      </c>
      <c r="I14" t="str">
        <f t="shared" si="3"/>
        <v>.1</v>
      </c>
      <c r="J14" t="str">
        <f t="shared" si="3"/>
        <v>.1</v>
      </c>
      <c r="K14" t="str">
        <f t="shared" si="3"/>
        <v>.1</v>
      </c>
      <c r="L14" t="str">
        <f t="shared" si="3"/>
        <v>.1</v>
      </c>
      <c r="M14" t="str">
        <f t="shared" si="3"/>
        <v>.1</v>
      </c>
      <c r="N14" t="str">
        <f t="shared" si="3"/>
        <v>.1</v>
      </c>
      <c r="O14" t="str">
        <f t="shared" si="3"/>
        <v>.1</v>
      </c>
      <c r="P14" t="str">
        <f t="shared" si="3"/>
        <v>.1</v>
      </c>
      <c r="Q14" t="str">
        <f t="shared" si="3"/>
        <v>.1</v>
      </c>
      <c r="R14" t="str">
        <f t="shared" si="3"/>
        <v>.1</v>
      </c>
      <c r="S14" t="str">
        <f t="shared" si="3"/>
        <v>.1</v>
      </c>
      <c r="T14" t="str">
        <f t="shared" si="3"/>
        <v>.1</v>
      </c>
      <c r="U14" t="str">
        <f t="shared" si="3"/>
        <v>.1</v>
      </c>
      <c r="V14" t="str">
        <f t="shared" si="3"/>
        <v>.1</v>
      </c>
      <c r="W14" t="str">
        <f t="shared" si="3"/>
        <v>.1</v>
      </c>
      <c r="X14" t="str">
        <f t="shared" si="3"/>
        <v>.1</v>
      </c>
      <c r="Y14" t="str">
        <f t="shared" si="3"/>
        <v>.1</v>
      </c>
      <c r="Z14" t="str">
        <f t="shared" si="3"/>
        <v>.1</v>
      </c>
      <c r="AA14" t="str">
        <f t="shared" si="3"/>
        <v>.1</v>
      </c>
      <c r="AB14" t="str">
        <f t="shared" si="3"/>
        <v>.1</v>
      </c>
      <c r="AC14" t="str">
        <f t="shared" si="3"/>
        <v>.1</v>
      </c>
      <c r="AD14" t="str">
        <f t="shared" si="3"/>
        <v>.1</v>
      </c>
      <c r="AE14" t="str">
        <f t="shared" si="3"/>
        <v>.1</v>
      </c>
      <c r="AF14" t="str">
        <f t="shared" si="3"/>
        <v>.1</v>
      </c>
      <c r="AG14" t="str">
        <f t="shared" si="3"/>
        <v>.1</v>
      </c>
      <c r="AH14" t="str">
        <f t="shared" si="3"/>
        <v>.1</v>
      </c>
      <c r="AI14" t="str">
        <f t="shared" si="3"/>
        <v>.1</v>
      </c>
      <c r="AJ14" t="str">
        <f t="shared" si="3"/>
        <v>.1</v>
      </c>
      <c r="AK14" t="str">
        <f t="shared" si="3"/>
        <v>.1</v>
      </c>
      <c r="AL14" t="str">
        <f t="shared" si="3"/>
        <v>.1</v>
      </c>
      <c r="AM14" t="str">
        <f t="shared" si="3"/>
        <v>.1</v>
      </c>
      <c r="AN14" t="str">
        <f t="shared" si="3"/>
        <v>.1</v>
      </c>
    </row>
    <row r="15" spans="4:41" ht="15" customHeight="1" x14ac:dyDescent="0.15">
      <c r="D15">
        <v>1</v>
      </c>
      <c r="E15" t="str">
        <f>TP_P_A</f>
        <v>Количество поданных заявок</v>
      </c>
      <c r="F15" t="s">
        <v>1883</v>
      </c>
      <c r="AO1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4:41" ht="15" customHeight="1" x14ac:dyDescent="0.15">
      <c r="D16">
        <v>2</v>
      </c>
      <c r="E16" t="str">
        <f>TP_P_B</f>
        <v>Количество рассмотренных заявок</v>
      </c>
      <c r="F16" t="s">
        <v>1883</v>
      </c>
      <c r="AO1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4:41" ht="33.75" customHeight="1" x14ac:dyDescent="0.15">
      <c r="D17">
        <v>3</v>
      </c>
      <c r="E1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t="s">
        <v>1883</v>
      </c>
      <c r="AO17" t="str">
        <f>TP_P_NOTE_V</f>
        <v>Указывается количество заявок с решением об отказе в течение отчетного квартала.</v>
      </c>
    </row>
    <row r="18" spans="4:41" ht="22.5" customHeight="1" x14ac:dyDescent="0.15">
      <c r="D18">
        <v>4</v>
      </c>
      <c r="E18" t="str">
        <f>TP_P_V_1</f>
        <v>Причины отказа в заключении договора о подключении (технологическом присоединении) к системе теплоснабжения</v>
      </c>
      <c r="F18" t="s">
        <v>599</v>
      </c>
      <c r="AO1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4:41" ht="22.5" customHeight="1" x14ac:dyDescent="0.15">
      <c r="D19">
        <v>5</v>
      </c>
      <c r="E19" t="str">
        <f>TP_P_G</f>
        <v>Резерв мощности источников тепловой энергии, входящих в систему теплоснабжения, в течение одного квартала, в том числе:</v>
      </c>
      <c r="F19" t="str">
        <f>IF(TEMPLATE_SPHERE="HEAT","Гкал/час","тыс. куб. м/сутки")</f>
        <v>Гкал/час</v>
      </c>
      <c r="G19">
        <f t="shared" ref="G19:AN19" si="4">SUM(G20:G22)</f>
        <v>0</v>
      </c>
      <c r="H19">
        <f t="shared" si="4"/>
        <v>0</v>
      </c>
      <c r="I19">
        <f t="shared" si="4"/>
        <v>0</v>
      </c>
      <c r="J19">
        <f t="shared" si="4"/>
        <v>0</v>
      </c>
      <c r="K19">
        <f t="shared" si="4"/>
        <v>0</v>
      </c>
      <c r="L19">
        <f t="shared" si="4"/>
        <v>0</v>
      </c>
      <c r="M19">
        <f t="shared" si="4"/>
        <v>0</v>
      </c>
      <c r="N19">
        <f t="shared" si="4"/>
        <v>0</v>
      </c>
      <c r="O19">
        <f t="shared" si="4"/>
        <v>0</v>
      </c>
      <c r="P19">
        <f t="shared" si="4"/>
        <v>0</v>
      </c>
      <c r="Q19">
        <f t="shared" si="4"/>
        <v>0</v>
      </c>
      <c r="R19">
        <f t="shared" si="4"/>
        <v>0</v>
      </c>
      <c r="S19">
        <f t="shared" si="4"/>
        <v>0</v>
      </c>
      <c r="T19">
        <f t="shared" si="4"/>
        <v>0</v>
      </c>
      <c r="U19">
        <f t="shared" si="4"/>
        <v>0</v>
      </c>
      <c r="V19">
        <f t="shared" si="4"/>
        <v>0</v>
      </c>
      <c r="W19">
        <f t="shared" si="4"/>
        <v>0</v>
      </c>
      <c r="X19">
        <f t="shared" si="4"/>
        <v>0</v>
      </c>
      <c r="Y19">
        <f t="shared" si="4"/>
        <v>0</v>
      </c>
      <c r="Z19">
        <f t="shared" si="4"/>
        <v>0</v>
      </c>
      <c r="AA19">
        <f t="shared" si="4"/>
        <v>0</v>
      </c>
      <c r="AB19">
        <f t="shared" si="4"/>
        <v>0</v>
      </c>
      <c r="AC19">
        <f t="shared" si="4"/>
        <v>0</v>
      </c>
      <c r="AD19">
        <f t="shared" si="4"/>
        <v>0</v>
      </c>
      <c r="AE19">
        <f t="shared" si="4"/>
        <v>0</v>
      </c>
      <c r="AF19">
        <f t="shared" si="4"/>
        <v>0</v>
      </c>
      <c r="AG19">
        <f t="shared" si="4"/>
        <v>0</v>
      </c>
      <c r="AH19">
        <f t="shared" si="4"/>
        <v>0</v>
      </c>
      <c r="AI19">
        <f t="shared" si="4"/>
        <v>0</v>
      </c>
      <c r="AJ19">
        <f t="shared" si="4"/>
        <v>0</v>
      </c>
      <c r="AK19">
        <f t="shared" si="4"/>
        <v>0</v>
      </c>
      <c r="AL19">
        <f t="shared" si="4"/>
        <v>0</v>
      </c>
      <c r="AM19">
        <f t="shared" si="4"/>
        <v>0</v>
      </c>
      <c r="AN19">
        <f t="shared" si="4"/>
        <v>0</v>
      </c>
      <c r="AO1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4:41" ht="15" hidden="1" customHeight="1" x14ac:dyDescent="0.15">
      <c r="D20" t="s">
        <v>1884</v>
      </c>
    </row>
    <row r="21" spans="4:41" ht="27.75" customHeight="1" x14ac:dyDescent="0.15">
      <c r="D21" t="s">
        <v>608</v>
      </c>
      <c r="F21" t="str">
        <f>IF(TEMPLATE_SPHERE="HEAT","Гкал/час","тыс. куб. м/сутки")</f>
        <v>Гкал/час</v>
      </c>
      <c r="AO21" s="6"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4:41" ht="15" customHeight="1" x14ac:dyDescent="0.15">
      <c r="E22" t="s">
        <v>1885</v>
      </c>
      <c r="AO22" s="6"/>
    </row>
  </sheetData>
  <sheetProtection formatColumns="0" formatRows="0" insertRows="0" deleteColumns="0" deleteRows="0" sort="0" autoFilter="0"/>
  <mergeCells count="8">
    <mergeCell ref="AO21:AO22"/>
    <mergeCell ref="AO9:AO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N17">
      <formula1>0</formula1>
      <formula2>9.99999999999999E+23</formula2>
    </dataValidation>
    <dataValidation type="decimal" allowBlank="1" showErrorMessage="1" errorTitle="Ошибка" error="Допускается ввод только неотрицательных чисел!" sqref="G21:AN21 G2:AN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BW39"/>
  <sheetViews>
    <sheetView showGridLines="0" topLeftCell="C21" zoomScale="90" workbookViewId="0">
      <selection activeCell="BU25" sqref="BU25"/>
    </sheetView>
  </sheetViews>
  <sheetFormatPr defaultColWidth="10.5703125" defaultRowHeight="15" customHeight="1" x14ac:dyDescent="0.15"/>
  <cols>
    <col min="1" max="2" width="9.140625" hidden="1" customWidth="1"/>
    <col min="3" max="3" width="4.7109375" customWidth="1"/>
    <col min="4" max="4" width="6.28515625" customWidth="1"/>
    <col min="5" max="5" width="36.7109375" customWidth="1"/>
    <col min="6" max="6" width="9.5703125" customWidth="1"/>
    <col min="7" max="7" width="25.7109375" hidden="1" customWidth="1"/>
    <col min="8" max="8" width="33.7109375" hidden="1" customWidth="1"/>
    <col min="9" max="9" width="25.7109375" customWidth="1"/>
    <col min="10" max="10" width="33.7109375" customWidth="1"/>
    <col min="11" max="11" width="25.7109375" customWidth="1"/>
    <col min="12" max="12" width="33.7109375" customWidth="1"/>
    <col min="13" max="13" width="25.7109375" customWidth="1"/>
    <col min="14" max="14" width="33.7109375" customWidth="1"/>
    <col min="15" max="15" width="25.7109375" customWidth="1"/>
    <col min="16" max="16" width="33.7109375" customWidth="1"/>
    <col min="17" max="17" width="25.7109375" customWidth="1"/>
    <col min="18" max="18" width="33.7109375" customWidth="1"/>
    <col min="19" max="19" width="25.7109375" customWidth="1"/>
    <col min="20" max="20" width="33.7109375" customWidth="1"/>
    <col min="21" max="21" width="25.7109375" customWidth="1"/>
    <col min="22" max="22" width="33.7109375" customWidth="1"/>
    <col min="23" max="23" width="25.7109375" customWidth="1"/>
    <col min="24" max="24" width="33.7109375" customWidth="1"/>
    <col min="25" max="25" width="25.7109375" customWidth="1"/>
    <col min="26" max="26" width="33.7109375" customWidth="1"/>
    <col min="27" max="27" width="25.7109375" customWidth="1"/>
    <col min="28" max="28" width="33.7109375" customWidth="1"/>
    <col min="29" max="29" width="25.7109375" customWidth="1"/>
    <col min="30" max="30" width="33.7109375" customWidth="1"/>
    <col min="31" max="31" width="25.7109375" customWidth="1"/>
    <col min="32" max="32" width="33.7109375" customWidth="1"/>
    <col min="33" max="33" width="25.7109375" customWidth="1"/>
    <col min="34" max="34" width="33.7109375" customWidth="1"/>
    <col min="35" max="35" width="25.7109375" customWidth="1"/>
    <col min="36" max="36" width="33.7109375" customWidth="1"/>
    <col min="37" max="37" width="25.7109375" customWidth="1"/>
    <col min="38" max="38" width="33.7109375" customWidth="1"/>
    <col min="39" max="39" width="25.7109375" customWidth="1"/>
    <col min="40" max="40" width="33.7109375" customWidth="1"/>
    <col min="41" max="41" width="25.7109375" customWidth="1"/>
    <col min="42" max="42" width="33.7109375" customWidth="1"/>
    <col min="43" max="43" width="25.7109375" customWidth="1"/>
    <col min="44" max="44" width="33.7109375" customWidth="1"/>
    <col min="45" max="45" width="25.7109375" customWidth="1"/>
    <col min="46" max="46" width="33.7109375" customWidth="1"/>
    <col min="47" max="47" width="25.7109375" customWidth="1"/>
    <col min="48" max="48" width="33.7109375" customWidth="1"/>
    <col min="49" max="49" width="25.7109375" customWidth="1"/>
    <col min="50" max="50" width="33.7109375" customWidth="1"/>
    <col min="51" max="51" width="25.7109375" customWidth="1"/>
    <col min="52" max="52" width="33.7109375" customWidth="1"/>
    <col min="53" max="53" width="25.7109375" customWidth="1"/>
    <col min="54" max="54" width="33.7109375" customWidth="1"/>
    <col min="55" max="55" width="25.7109375" customWidth="1"/>
    <col min="56" max="56" width="33.7109375" customWidth="1"/>
    <col min="57" max="57" width="25.7109375" customWidth="1"/>
    <col min="58" max="58" width="33.7109375" customWidth="1"/>
    <col min="59" max="59" width="25.7109375" customWidth="1"/>
    <col min="60" max="60" width="33.7109375" customWidth="1"/>
    <col min="61" max="61" width="25.7109375" customWidth="1"/>
    <col min="62" max="62" width="33.7109375" customWidth="1"/>
    <col min="63" max="63" width="25.7109375" customWidth="1"/>
    <col min="64" max="64" width="33.7109375" customWidth="1"/>
    <col min="65" max="65" width="25.7109375" customWidth="1"/>
    <col min="66" max="66" width="33.7109375" customWidth="1"/>
    <col min="67" max="67" width="25.7109375" customWidth="1"/>
    <col min="68" max="68" width="33.7109375" customWidth="1"/>
    <col min="69" max="69" width="25.7109375" customWidth="1"/>
    <col min="70" max="70" width="33.7109375" customWidth="1"/>
    <col min="71" max="71" width="25.7109375" customWidth="1"/>
    <col min="72" max="72" width="33.7109375" customWidth="1"/>
    <col min="73" max="73" width="25.7109375" customWidth="1"/>
    <col min="74" max="74" width="33.7109375" customWidth="1"/>
    <col min="75" max="75" width="93.42578125" customWidth="1"/>
  </cols>
  <sheetData>
    <row r="1" spans="2:75" ht="15" hidden="1" customHeight="1" x14ac:dyDescent="0.15">
      <c r="G1">
        <v>4</v>
      </c>
      <c r="I1">
        <v>4</v>
      </c>
      <c r="K1">
        <v>4</v>
      </c>
      <c r="M1">
        <v>4</v>
      </c>
      <c r="O1">
        <v>4</v>
      </c>
      <c r="Q1">
        <v>4</v>
      </c>
      <c r="S1">
        <v>4</v>
      </c>
      <c r="U1">
        <v>4</v>
      </c>
      <c r="W1">
        <v>4</v>
      </c>
      <c r="Y1">
        <v>4</v>
      </c>
      <c r="AA1">
        <v>4</v>
      </c>
      <c r="AC1">
        <v>4</v>
      </c>
      <c r="AE1">
        <v>4</v>
      </c>
      <c r="AG1">
        <v>4</v>
      </c>
      <c r="AI1">
        <v>4</v>
      </c>
      <c r="AK1">
        <v>4</v>
      </c>
      <c r="AM1">
        <v>4</v>
      </c>
      <c r="AO1">
        <v>4</v>
      </c>
      <c r="AQ1">
        <v>4</v>
      </c>
      <c r="AS1">
        <v>4</v>
      </c>
      <c r="AU1">
        <v>4</v>
      </c>
      <c r="AW1">
        <v>4</v>
      </c>
      <c r="AY1">
        <v>4</v>
      </c>
      <c r="BA1">
        <v>4</v>
      </c>
      <c r="BC1">
        <v>4</v>
      </c>
      <c r="BE1">
        <v>4</v>
      </c>
      <c r="BG1">
        <v>4</v>
      </c>
      <c r="BI1">
        <v>4</v>
      </c>
      <c r="BK1">
        <v>4</v>
      </c>
      <c r="BM1">
        <v>4</v>
      </c>
      <c r="BO1">
        <v>4</v>
      </c>
      <c r="BQ1">
        <v>4</v>
      </c>
      <c r="BS1">
        <v>4</v>
      </c>
      <c r="BU1">
        <v>4</v>
      </c>
    </row>
    <row r="2" spans="2:75" ht="15" hidden="1" customHeight="1" x14ac:dyDescent="0.15"/>
    <row r="3" spans="2:75" ht="22.5" hidden="1" customHeight="1" x14ac:dyDescent="0.15">
      <c r="B3" s="6"/>
      <c r="C3" s="6"/>
      <c r="D3" t="str">
        <f>B3&amp;".1"</f>
        <v>.1</v>
      </c>
      <c r="E3" t="s">
        <v>1886</v>
      </c>
      <c r="F3" t="s">
        <v>599</v>
      </c>
      <c r="BW3" t="s">
        <v>1887</v>
      </c>
    </row>
    <row r="4" spans="2:75" ht="15" hidden="1" customHeight="1" x14ac:dyDescent="0.15">
      <c r="B4" s="6"/>
      <c r="C4" s="6"/>
      <c r="D4" t="str">
        <f>B3&amp;".2"</f>
        <v>.2</v>
      </c>
      <c r="E4" t="s">
        <v>1888</v>
      </c>
      <c r="F4" t="s">
        <v>599</v>
      </c>
      <c r="G4" t="s">
        <v>4</v>
      </c>
      <c r="I4" t="s">
        <v>4</v>
      </c>
      <c r="K4" t="s">
        <v>4</v>
      </c>
      <c r="M4" t="s">
        <v>4</v>
      </c>
      <c r="O4" t="s">
        <v>4</v>
      </c>
      <c r="Q4" t="s">
        <v>4</v>
      </c>
      <c r="S4" t="s">
        <v>4</v>
      </c>
      <c r="U4" t="s">
        <v>4</v>
      </c>
      <c r="W4" t="s">
        <v>4</v>
      </c>
      <c r="Y4" t="s">
        <v>4</v>
      </c>
      <c r="AA4" t="s">
        <v>4</v>
      </c>
      <c r="AC4" t="s">
        <v>4</v>
      </c>
      <c r="AE4" t="s">
        <v>4</v>
      </c>
      <c r="AG4" t="s">
        <v>4</v>
      </c>
      <c r="AI4" t="s">
        <v>4</v>
      </c>
      <c r="AK4" t="s">
        <v>4</v>
      </c>
      <c r="AM4" t="s">
        <v>4</v>
      </c>
      <c r="AO4" t="s">
        <v>4</v>
      </c>
      <c r="AQ4" t="s">
        <v>4</v>
      </c>
      <c r="AS4" t="s">
        <v>4</v>
      </c>
      <c r="AU4" t="s">
        <v>4</v>
      </c>
      <c r="AW4" t="s">
        <v>4</v>
      </c>
      <c r="AY4" t="s">
        <v>4</v>
      </c>
      <c r="BA4" t="s">
        <v>4</v>
      </c>
      <c r="BC4" t="s">
        <v>4</v>
      </c>
      <c r="BE4" t="s">
        <v>4</v>
      </c>
      <c r="BG4" t="s">
        <v>4</v>
      </c>
      <c r="BI4" t="s">
        <v>4</v>
      </c>
      <c r="BK4" t="s">
        <v>4</v>
      </c>
      <c r="BM4" t="s">
        <v>4</v>
      </c>
      <c r="BO4" t="s">
        <v>4</v>
      </c>
      <c r="BQ4" t="s">
        <v>4</v>
      </c>
      <c r="BS4" t="s">
        <v>4</v>
      </c>
      <c r="BU4" t="s">
        <v>4</v>
      </c>
      <c r="BW4" t="s">
        <v>1889</v>
      </c>
    </row>
    <row r="5" spans="2:75" ht="15" hidden="1" customHeight="1" x14ac:dyDescent="0.15"/>
    <row r="6" spans="2:75" ht="22.5" hidden="1" customHeight="1" x14ac:dyDescent="0.15">
      <c r="B6" s="6"/>
      <c r="C6" s="6"/>
      <c r="D6" t="str">
        <f>B6&amp;".1"</f>
        <v>.1</v>
      </c>
      <c r="E6" t="s">
        <v>1890</v>
      </c>
      <c r="F6" t="s">
        <v>599</v>
      </c>
      <c r="BW6" t="s">
        <v>1891</v>
      </c>
    </row>
    <row r="7" spans="2:75" ht="15" hidden="1" customHeight="1" x14ac:dyDescent="0.15">
      <c r="B7" s="6"/>
      <c r="C7" s="6"/>
      <c r="D7" t="str">
        <f>B6&amp;".2"</f>
        <v>.2</v>
      </c>
      <c r="E7" t="s">
        <v>1888</v>
      </c>
      <c r="F7" t="s">
        <v>599</v>
      </c>
      <c r="G7" t="s">
        <v>4</v>
      </c>
      <c r="I7" t="s">
        <v>4</v>
      </c>
      <c r="K7" t="s">
        <v>4</v>
      </c>
      <c r="M7" t="s">
        <v>4</v>
      </c>
      <c r="O7" t="s">
        <v>4</v>
      </c>
      <c r="Q7" t="s">
        <v>4</v>
      </c>
      <c r="S7" t="s">
        <v>4</v>
      </c>
      <c r="U7" t="s">
        <v>4</v>
      </c>
      <c r="W7" t="s">
        <v>4</v>
      </c>
      <c r="Y7" t="s">
        <v>4</v>
      </c>
      <c r="AA7" t="s">
        <v>4</v>
      </c>
      <c r="AC7" t="s">
        <v>4</v>
      </c>
      <c r="AE7" t="s">
        <v>4</v>
      </c>
      <c r="AG7" t="s">
        <v>4</v>
      </c>
      <c r="AI7" t="s">
        <v>4</v>
      </c>
      <c r="AK7" t="s">
        <v>4</v>
      </c>
      <c r="AM7" t="s">
        <v>4</v>
      </c>
      <c r="AO7" t="s">
        <v>4</v>
      </c>
      <c r="AQ7" t="s">
        <v>4</v>
      </c>
      <c r="AS7" t="s">
        <v>4</v>
      </c>
      <c r="AU7" t="s">
        <v>4</v>
      </c>
      <c r="AW7" t="s">
        <v>4</v>
      </c>
      <c r="AY7" t="s">
        <v>4</v>
      </c>
      <c r="BA7" t="s">
        <v>4</v>
      </c>
      <c r="BC7" t="s">
        <v>4</v>
      </c>
      <c r="BE7" t="s">
        <v>4</v>
      </c>
      <c r="BG7" t="s">
        <v>4</v>
      </c>
      <c r="BI7" t="s">
        <v>4</v>
      </c>
      <c r="BK7" t="s">
        <v>4</v>
      </c>
      <c r="BM7" t="s">
        <v>4</v>
      </c>
      <c r="BO7" t="s">
        <v>4</v>
      </c>
      <c r="BQ7" t="s">
        <v>4</v>
      </c>
      <c r="BS7" t="s">
        <v>4</v>
      </c>
      <c r="BU7" t="s">
        <v>4</v>
      </c>
      <c r="BW7" t="s">
        <v>1889</v>
      </c>
    </row>
    <row r="8" spans="2:75" ht="15" hidden="1" customHeight="1" x14ac:dyDescent="0.15"/>
    <row r="9" spans="2:75" ht="22.5" hidden="1" customHeight="1" x14ac:dyDescent="0.15">
      <c r="B9" s="6"/>
      <c r="C9" s="6"/>
      <c r="D9" t="str">
        <f>B9&amp;".1"</f>
        <v>.1</v>
      </c>
      <c r="E9" t="s">
        <v>1892</v>
      </c>
      <c r="F9" t="s">
        <v>599</v>
      </c>
      <c r="G9" t="s">
        <v>4</v>
      </c>
      <c r="H9" t="s">
        <v>4</v>
      </c>
      <c r="I9" t="s">
        <v>4</v>
      </c>
      <c r="J9" t="s">
        <v>4</v>
      </c>
      <c r="K9" t="s">
        <v>4</v>
      </c>
      <c r="L9" t="s">
        <v>4</v>
      </c>
      <c r="M9" t="s">
        <v>4</v>
      </c>
      <c r="N9" t="s">
        <v>4</v>
      </c>
      <c r="O9" t="s">
        <v>4</v>
      </c>
      <c r="P9" t="s">
        <v>4</v>
      </c>
      <c r="Q9" t="s">
        <v>4</v>
      </c>
      <c r="R9" t="s">
        <v>4</v>
      </c>
      <c r="S9" t="s">
        <v>4</v>
      </c>
      <c r="T9" t="s">
        <v>4</v>
      </c>
      <c r="U9" t="s">
        <v>4</v>
      </c>
      <c r="V9" t="s">
        <v>4</v>
      </c>
      <c r="W9" t="s">
        <v>4</v>
      </c>
      <c r="X9" t="s">
        <v>4</v>
      </c>
      <c r="Y9" t="s">
        <v>4</v>
      </c>
      <c r="Z9" t="s">
        <v>4</v>
      </c>
      <c r="AA9" t="s">
        <v>4</v>
      </c>
      <c r="AB9" t="s">
        <v>4</v>
      </c>
      <c r="AC9" t="s">
        <v>4</v>
      </c>
      <c r="AD9" t="s">
        <v>4</v>
      </c>
      <c r="AE9" t="s">
        <v>4</v>
      </c>
      <c r="AF9" t="s">
        <v>4</v>
      </c>
      <c r="AG9" t="s">
        <v>4</v>
      </c>
      <c r="AH9" t="s">
        <v>4</v>
      </c>
      <c r="AI9" t="s">
        <v>4</v>
      </c>
      <c r="AJ9" t="s">
        <v>4</v>
      </c>
      <c r="AK9" t="s">
        <v>4</v>
      </c>
      <c r="AL9" t="s">
        <v>4</v>
      </c>
      <c r="AM9" t="s">
        <v>4</v>
      </c>
      <c r="AN9" t="s">
        <v>4</v>
      </c>
      <c r="AO9" t="s">
        <v>4</v>
      </c>
      <c r="AP9" t="s">
        <v>4</v>
      </c>
      <c r="AQ9" t="s">
        <v>4</v>
      </c>
      <c r="AR9" t="s">
        <v>4</v>
      </c>
      <c r="AS9" t="s">
        <v>4</v>
      </c>
      <c r="AT9" t="s">
        <v>4</v>
      </c>
      <c r="AU9" t="s">
        <v>4</v>
      </c>
      <c r="AV9" t="s">
        <v>4</v>
      </c>
      <c r="AW9" t="s">
        <v>4</v>
      </c>
      <c r="AX9" t="s">
        <v>4</v>
      </c>
      <c r="AY9" t="s">
        <v>4</v>
      </c>
      <c r="AZ9" t="s">
        <v>4</v>
      </c>
      <c r="BA9" t="s">
        <v>4</v>
      </c>
      <c r="BB9" t="s">
        <v>4</v>
      </c>
      <c r="BC9" t="s">
        <v>4</v>
      </c>
      <c r="BD9" t="s">
        <v>4</v>
      </c>
      <c r="BE9" t="s">
        <v>4</v>
      </c>
      <c r="BF9" t="s">
        <v>4</v>
      </c>
      <c r="BG9" t="s">
        <v>4</v>
      </c>
      <c r="BH9" t="s">
        <v>4</v>
      </c>
      <c r="BI9" t="s">
        <v>4</v>
      </c>
      <c r="BJ9" t="s">
        <v>4</v>
      </c>
      <c r="BK9" t="s">
        <v>4</v>
      </c>
      <c r="BL9" t="s">
        <v>4</v>
      </c>
      <c r="BM9" t="s">
        <v>4</v>
      </c>
      <c r="BN9" t="s">
        <v>4</v>
      </c>
      <c r="BO9" t="s">
        <v>4</v>
      </c>
      <c r="BP9" t="s">
        <v>4</v>
      </c>
      <c r="BQ9" t="s">
        <v>4</v>
      </c>
      <c r="BR9" t="s">
        <v>4</v>
      </c>
      <c r="BS9" t="s">
        <v>4</v>
      </c>
      <c r="BT9" t="s">
        <v>4</v>
      </c>
      <c r="BU9" t="s">
        <v>4</v>
      </c>
      <c r="BV9" t="s">
        <v>4</v>
      </c>
    </row>
    <row r="10" spans="2:75" ht="15" hidden="1" customHeight="1" x14ac:dyDescent="0.15">
      <c r="B10" s="6"/>
      <c r="C10" s="6"/>
      <c r="D10" t="str">
        <f>B9&amp;".2"</f>
        <v>.2</v>
      </c>
      <c r="E10" t="s">
        <v>1893</v>
      </c>
      <c r="F10" t="s">
        <v>599</v>
      </c>
      <c r="G10" t="s">
        <v>4</v>
      </c>
      <c r="H10" t="s">
        <v>4</v>
      </c>
      <c r="I10" t="s">
        <v>4</v>
      </c>
      <c r="J10" t="s">
        <v>4</v>
      </c>
      <c r="K10" t="s">
        <v>4</v>
      </c>
      <c r="L10" t="s">
        <v>4</v>
      </c>
      <c r="M10" t="s">
        <v>4</v>
      </c>
      <c r="N10" t="s">
        <v>4</v>
      </c>
      <c r="O10" t="s">
        <v>4</v>
      </c>
      <c r="P10" t="s">
        <v>4</v>
      </c>
      <c r="Q10" t="s">
        <v>4</v>
      </c>
      <c r="R10" t="s">
        <v>4</v>
      </c>
      <c r="S10" t="s">
        <v>4</v>
      </c>
      <c r="T10" t="s">
        <v>4</v>
      </c>
      <c r="U10" t="s">
        <v>4</v>
      </c>
      <c r="V10" t="s">
        <v>4</v>
      </c>
      <c r="W10" t="s">
        <v>4</v>
      </c>
      <c r="X10" t="s">
        <v>4</v>
      </c>
      <c r="Y10" t="s">
        <v>4</v>
      </c>
      <c r="Z10" t="s">
        <v>4</v>
      </c>
      <c r="AA10" t="s">
        <v>4</v>
      </c>
      <c r="AB10" t="s">
        <v>4</v>
      </c>
      <c r="AC10" t="s">
        <v>4</v>
      </c>
      <c r="AD10" t="s">
        <v>4</v>
      </c>
      <c r="AE10" t="s">
        <v>4</v>
      </c>
      <c r="AF10" t="s">
        <v>4</v>
      </c>
      <c r="AG10" t="s">
        <v>4</v>
      </c>
      <c r="AH10" t="s">
        <v>4</v>
      </c>
      <c r="AI10" t="s">
        <v>4</v>
      </c>
      <c r="AJ10" t="s">
        <v>4</v>
      </c>
      <c r="AK10" t="s">
        <v>4</v>
      </c>
      <c r="AL10" t="s">
        <v>4</v>
      </c>
      <c r="AM10" t="s">
        <v>4</v>
      </c>
      <c r="AN10" t="s">
        <v>4</v>
      </c>
      <c r="AO10" t="s">
        <v>4</v>
      </c>
      <c r="AP10" t="s">
        <v>4</v>
      </c>
      <c r="AQ10" t="s">
        <v>4</v>
      </c>
      <c r="AR10" t="s">
        <v>4</v>
      </c>
      <c r="AS10" t="s">
        <v>4</v>
      </c>
      <c r="AT10" t="s">
        <v>4</v>
      </c>
      <c r="AU10" t="s">
        <v>4</v>
      </c>
      <c r="AV10" t="s">
        <v>4</v>
      </c>
      <c r="AW10" t="s">
        <v>4</v>
      </c>
      <c r="AX10" t="s">
        <v>4</v>
      </c>
      <c r="AY10" t="s">
        <v>4</v>
      </c>
      <c r="AZ10" t="s">
        <v>4</v>
      </c>
      <c r="BA10" t="s">
        <v>4</v>
      </c>
      <c r="BB10" t="s">
        <v>4</v>
      </c>
      <c r="BC10" t="s">
        <v>4</v>
      </c>
      <c r="BD10" t="s">
        <v>4</v>
      </c>
      <c r="BE10" t="s">
        <v>4</v>
      </c>
      <c r="BF10" t="s">
        <v>4</v>
      </c>
      <c r="BG10" t="s">
        <v>4</v>
      </c>
      <c r="BH10" t="s">
        <v>4</v>
      </c>
      <c r="BI10" t="s">
        <v>4</v>
      </c>
      <c r="BJ10" t="s">
        <v>4</v>
      </c>
      <c r="BK10" t="s">
        <v>4</v>
      </c>
      <c r="BL10" t="s">
        <v>4</v>
      </c>
      <c r="BM10" t="s">
        <v>4</v>
      </c>
      <c r="BN10" t="s">
        <v>4</v>
      </c>
      <c r="BO10" t="s">
        <v>4</v>
      </c>
      <c r="BP10" t="s">
        <v>4</v>
      </c>
      <c r="BQ10" t="s">
        <v>4</v>
      </c>
      <c r="BR10" t="s">
        <v>4</v>
      </c>
      <c r="BS10" t="s">
        <v>4</v>
      </c>
      <c r="BT10" t="s">
        <v>4</v>
      </c>
      <c r="BU10" t="s">
        <v>4</v>
      </c>
      <c r="BV10" t="s">
        <v>4</v>
      </c>
      <c r="BW10" t="s">
        <v>1894</v>
      </c>
    </row>
    <row r="11" spans="2:75" ht="15" hidden="1" customHeight="1" x14ac:dyDescent="0.15">
      <c r="B11" s="6"/>
      <c r="C11" s="6"/>
      <c r="D11" t="str">
        <f>B9&amp;".3"</f>
        <v>.3</v>
      </c>
      <c r="E11" t="s">
        <v>1895</v>
      </c>
      <c r="F11" t="s">
        <v>599</v>
      </c>
      <c r="G11" t="s">
        <v>4</v>
      </c>
      <c r="H11" t="s">
        <v>4</v>
      </c>
      <c r="I11" t="s">
        <v>4</v>
      </c>
      <c r="J11" t="s">
        <v>4</v>
      </c>
      <c r="K11" t="s">
        <v>4</v>
      </c>
      <c r="L11" t="s">
        <v>4</v>
      </c>
      <c r="M11" t="s">
        <v>4</v>
      </c>
      <c r="N11" t="s">
        <v>4</v>
      </c>
      <c r="O11" t="s">
        <v>4</v>
      </c>
      <c r="P11" t="s">
        <v>4</v>
      </c>
      <c r="Q11" t="s">
        <v>4</v>
      </c>
      <c r="R11" t="s">
        <v>4</v>
      </c>
      <c r="S11" t="s">
        <v>4</v>
      </c>
      <c r="T11" t="s">
        <v>4</v>
      </c>
      <c r="U11" t="s">
        <v>4</v>
      </c>
      <c r="V11" t="s">
        <v>4</v>
      </c>
      <c r="W11" t="s">
        <v>4</v>
      </c>
      <c r="X11" t="s">
        <v>4</v>
      </c>
      <c r="Y11" t="s">
        <v>4</v>
      </c>
      <c r="Z11" t="s">
        <v>4</v>
      </c>
      <c r="AA11" t="s">
        <v>4</v>
      </c>
      <c r="AB11" t="s">
        <v>4</v>
      </c>
      <c r="AC11" t="s">
        <v>4</v>
      </c>
      <c r="AD11" t="s">
        <v>4</v>
      </c>
      <c r="AE11" t="s">
        <v>4</v>
      </c>
      <c r="AF11" t="s">
        <v>4</v>
      </c>
      <c r="AG11" t="s">
        <v>4</v>
      </c>
      <c r="AH11" t="s">
        <v>4</v>
      </c>
      <c r="AI11" t="s">
        <v>4</v>
      </c>
      <c r="AJ11" t="s">
        <v>4</v>
      </c>
      <c r="AK11" t="s">
        <v>4</v>
      </c>
      <c r="AL11" t="s">
        <v>4</v>
      </c>
      <c r="AM11" t="s">
        <v>4</v>
      </c>
      <c r="AN11" t="s">
        <v>4</v>
      </c>
      <c r="AO11" t="s">
        <v>4</v>
      </c>
      <c r="AP11" t="s">
        <v>4</v>
      </c>
      <c r="AQ11" t="s">
        <v>4</v>
      </c>
      <c r="AR11" t="s">
        <v>4</v>
      </c>
      <c r="AS11" t="s">
        <v>4</v>
      </c>
      <c r="AT11" t="s">
        <v>4</v>
      </c>
      <c r="AU11" t="s">
        <v>4</v>
      </c>
      <c r="AV11" t="s">
        <v>4</v>
      </c>
      <c r="AW11" t="s">
        <v>4</v>
      </c>
      <c r="AX11" t="s">
        <v>4</v>
      </c>
      <c r="AY11" t="s">
        <v>4</v>
      </c>
      <c r="AZ11" t="s">
        <v>4</v>
      </c>
      <c r="BA11" t="s">
        <v>4</v>
      </c>
      <c r="BB11" t="s">
        <v>4</v>
      </c>
      <c r="BC11" t="s">
        <v>4</v>
      </c>
      <c r="BD11" t="s">
        <v>4</v>
      </c>
      <c r="BE11" t="s">
        <v>4</v>
      </c>
      <c r="BF11" t="s">
        <v>4</v>
      </c>
      <c r="BG11" t="s">
        <v>4</v>
      </c>
      <c r="BH11" t="s">
        <v>4</v>
      </c>
      <c r="BI11" t="s">
        <v>4</v>
      </c>
      <c r="BJ11" t="s">
        <v>4</v>
      </c>
      <c r="BK11" t="s">
        <v>4</v>
      </c>
      <c r="BL11" t="s">
        <v>4</v>
      </c>
      <c r="BM11" t="s">
        <v>4</v>
      </c>
      <c r="BN11" t="s">
        <v>4</v>
      </c>
      <c r="BO11" t="s">
        <v>4</v>
      </c>
      <c r="BP11" t="s">
        <v>4</v>
      </c>
      <c r="BQ11" t="s">
        <v>4</v>
      </c>
      <c r="BR11" t="s">
        <v>4</v>
      </c>
      <c r="BS11" t="s">
        <v>4</v>
      </c>
      <c r="BT11" t="s">
        <v>4</v>
      </c>
      <c r="BU11" t="s">
        <v>4</v>
      </c>
      <c r="BV11" t="s">
        <v>4</v>
      </c>
      <c r="BW11" t="s">
        <v>1896</v>
      </c>
    </row>
    <row r="12" spans="2:75" ht="15" hidden="1" customHeight="1" x14ac:dyDescent="0.15"/>
    <row r="13" spans="2:75" ht="33.75" hidden="1" customHeight="1" x14ac:dyDescent="0.15">
      <c r="B13" s="6"/>
      <c r="C13" s="6"/>
      <c r="D13" t="str">
        <f>B13&amp;".1"</f>
        <v>.1</v>
      </c>
      <c r="E13" t="s">
        <v>1897</v>
      </c>
      <c r="F13" t="s">
        <v>599</v>
      </c>
      <c r="G13" t="s">
        <v>4</v>
      </c>
      <c r="H13" t="s">
        <v>4</v>
      </c>
      <c r="I13" t="s">
        <v>4</v>
      </c>
      <c r="J13" t="s">
        <v>4</v>
      </c>
      <c r="K13" t="s">
        <v>4</v>
      </c>
      <c r="L13" t="s">
        <v>4</v>
      </c>
      <c r="M13" t="s">
        <v>4</v>
      </c>
      <c r="N13" t="s">
        <v>4</v>
      </c>
      <c r="O13" t="s">
        <v>4</v>
      </c>
      <c r="P13" t="s">
        <v>4</v>
      </c>
      <c r="Q13" t="s">
        <v>4</v>
      </c>
      <c r="R13" t="s">
        <v>4</v>
      </c>
      <c r="S13" t="s">
        <v>4</v>
      </c>
      <c r="T13" t="s">
        <v>4</v>
      </c>
      <c r="U13" t="s">
        <v>4</v>
      </c>
      <c r="V13" t="s">
        <v>4</v>
      </c>
      <c r="W13" t="s">
        <v>4</v>
      </c>
      <c r="X13" t="s">
        <v>4</v>
      </c>
      <c r="Y13" t="s">
        <v>4</v>
      </c>
      <c r="Z13" t="s">
        <v>4</v>
      </c>
      <c r="AA13" t="s">
        <v>4</v>
      </c>
      <c r="AB13" t="s">
        <v>4</v>
      </c>
      <c r="AC13" t="s">
        <v>4</v>
      </c>
      <c r="AD13" t="s">
        <v>4</v>
      </c>
      <c r="AE13" t="s">
        <v>4</v>
      </c>
      <c r="AF13" t="s">
        <v>4</v>
      </c>
      <c r="AG13" t="s">
        <v>4</v>
      </c>
      <c r="AH13" t="s">
        <v>4</v>
      </c>
      <c r="AI13" t="s">
        <v>4</v>
      </c>
      <c r="AJ13" t="s">
        <v>4</v>
      </c>
      <c r="AK13" t="s">
        <v>4</v>
      </c>
      <c r="AL13" t="s">
        <v>4</v>
      </c>
      <c r="AM13" t="s">
        <v>4</v>
      </c>
      <c r="AN13" t="s">
        <v>4</v>
      </c>
      <c r="AO13" t="s">
        <v>4</v>
      </c>
      <c r="AP13" t="s">
        <v>4</v>
      </c>
      <c r="AQ13" t="s">
        <v>4</v>
      </c>
      <c r="AR13" t="s">
        <v>4</v>
      </c>
      <c r="AS13" t="s">
        <v>4</v>
      </c>
      <c r="AT13" t="s">
        <v>4</v>
      </c>
      <c r="AU13" t="s">
        <v>4</v>
      </c>
      <c r="AV13" t="s">
        <v>4</v>
      </c>
      <c r="AW13" t="s">
        <v>4</v>
      </c>
      <c r="AX13" t="s">
        <v>4</v>
      </c>
      <c r="AY13" t="s">
        <v>4</v>
      </c>
      <c r="AZ13" t="s">
        <v>4</v>
      </c>
      <c r="BA13" t="s">
        <v>4</v>
      </c>
      <c r="BB13" t="s">
        <v>4</v>
      </c>
      <c r="BC13" t="s">
        <v>4</v>
      </c>
      <c r="BD13" t="s">
        <v>4</v>
      </c>
      <c r="BE13" t="s">
        <v>4</v>
      </c>
      <c r="BF13" t="s">
        <v>4</v>
      </c>
      <c r="BG13" t="s">
        <v>4</v>
      </c>
      <c r="BH13" t="s">
        <v>4</v>
      </c>
      <c r="BI13" t="s">
        <v>4</v>
      </c>
      <c r="BJ13" t="s">
        <v>4</v>
      </c>
      <c r="BK13" t="s">
        <v>4</v>
      </c>
      <c r="BL13" t="s">
        <v>4</v>
      </c>
      <c r="BM13" t="s">
        <v>4</v>
      </c>
      <c r="BN13" t="s">
        <v>4</v>
      </c>
      <c r="BO13" t="s">
        <v>4</v>
      </c>
      <c r="BP13" t="s">
        <v>4</v>
      </c>
      <c r="BQ13" t="s">
        <v>4</v>
      </c>
      <c r="BR13" t="s">
        <v>4</v>
      </c>
      <c r="BS13" t="s">
        <v>4</v>
      </c>
      <c r="BT13" t="s">
        <v>4</v>
      </c>
      <c r="BU13" t="s">
        <v>4</v>
      </c>
      <c r="BV13" t="s">
        <v>4</v>
      </c>
      <c r="BW13" t="s">
        <v>1898</v>
      </c>
    </row>
    <row r="14" spans="2:75" ht="15" hidden="1" customHeight="1" x14ac:dyDescent="0.15">
      <c r="B14" s="6"/>
      <c r="C14" s="6"/>
      <c r="D14" t="str">
        <f>B13&amp;".2"</f>
        <v>.2</v>
      </c>
      <c r="E14" t="s">
        <v>1899</v>
      </c>
      <c r="F14" t="s">
        <v>599</v>
      </c>
      <c r="G14" t="s">
        <v>4</v>
      </c>
      <c r="H14" t="s">
        <v>4</v>
      </c>
      <c r="I14" t="s">
        <v>4</v>
      </c>
      <c r="J14" t="s">
        <v>4</v>
      </c>
      <c r="K14" t="s">
        <v>4</v>
      </c>
      <c r="L14" t="s">
        <v>4</v>
      </c>
      <c r="M14" t="s">
        <v>4</v>
      </c>
      <c r="N14" t="s">
        <v>4</v>
      </c>
      <c r="O14" t="s">
        <v>4</v>
      </c>
      <c r="P14" t="s">
        <v>4</v>
      </c>
      <c r="Q14" t="s">
        <v>4</v>
      </c>
      <c r="R14" t="s">
        <v>4</v>
      </c>
      <c r="S14" t="s">
        <v>4</v>
      </c>
      <c r="T14" t="s">
        <v>4</v>
      </c>
      <c r="U14" t="s">
        <v>4</v>
      </c>
      <c r="V14" t="s">
        <v>4</v>
      </c>
      <c r="W14" t="s">
        <v>4</v>
      </c>
      <c r="X14" t="s">
        <v>4</v>
      </c>
      <c r="Y14" t="s">
        <v>4</v>
      </c>
      <c r="Z14" t="s">
        <v>4</v>
      </c>
      <c r="AA14" t="s">
        <v>4</v>
      </c>
      <c r="AB14" t="s">
        <v>4</v>
      </c>
      <c r="AC14" t="s">
        <v>4</v>
      </c>
      <c r="AD14" t="s">
        <v>4</v>
      </c>
      <c r="AE14" t="s">
        <v>4</v>
      </c>
      <c r="AF14" t="s">
        <v>4</v>
      </c>
      <c r="AG14" t="s">
        <v>4</v>
      </c>
      <c r="AH14" t="s">
        <v>4</v>
      </c>
      <c r="AI14" t="s">
        <v>4</v>
      </c>
      <c r="AJ14" t="s">
        <v>4</v>
      </c>
      <c r="AK14" t="s">
        <v>4</v>
      </c>
      <c r="AL14" t="s">
        <v>4</v>
      </c>
      <c r="AM14" t="s">
        <v>4</v>
      </c>
      <c r="AN14" t="s">
        <v>4</v>
      </c>
      <c r="AO14" t="s">
        <v>4</v>
      </c>
      <c r="AP14" t="s">
        <v>4</v>
      </c>
      <c r="AQ14" t="s">
        <v>4</v>
      </c>
      <c r="AR14" t="s">
        <v>4</v>
      </c>
      <c r="AS14" t="s">
        <v>4</v>
      </c>
      <c r="AT14" t="s">
        <v>4</v>
      </c>
      <c r="AU14" t="s">
        <v>4</v>
      </c>
      <c r="AV14" t="s">
        <v>4</v>
      </c>
      <c r="AW14" t="s">
        <v>4</v>
      </c>
      <c r="AX14" t="s">
        <v>4</v>
      </c>
      <c r="AY14" t="s">
        <v>4</v>
      </c>
      <c r="AZ14" t="s">
        <v>4</v>
      </c>
      <c r="BA14" t="s">
        <v>4</v>
      </c>
      <c r="BB14" t="s">
        <v>4</v>
      </c>
      <c r="BC14" t="s">
        <v>4</v>
      </c>
      <c r="BD14" t="s">
        <v>4</v>
      </c>
      <c r="BE14" t="s">
        <v>4</v>
      </c>
      <c r="BF14" t="s">
        <v>4</v>
      </c>
      <c r="BG14" t="s">
        <v>4</v>
      </c>
      <c r="BH14" t="s">
        <v>4</v>
      </c>
      <c r="BI14" t="s">
        <v>4</v>
      </c>
      <c r="BJ14" t="s">
        <v>4</v>
      </c>
      <c r="BK14" t="s">
        <v>4</v>
      </c>
      <c r="BL14" t="s">
        <v>4</v>
      </c>
      <c r="BM14" t="s">
        <v>4</v>
      </c>
      <c r="BN14" t="s">
        <v>4</v>
      </c>
      <c r="BO14" t="s">
        <v>4</v>
      </c>
      <c r="BP14" t="s">
        <v>4</v>
      </c>
      <c r="BQ14" t="s">
        <v>4</v>
      </c>
      <c r="BR14" t="s">
        <v>4</v>
      </c>
      <c r="BS14" t="s">
        <v>4</v>
      </c>
      <c r="BT14" t="s">
        <v>4</v>
      </c>
      <c r="BU14" t="s">
        <v>4</v>
      </c>
      <c r="BV14" t="s">
        <v>4</v>
      </c>
      <c r="BW14" t="s">
        <v>1900</v>
      </c>
    </row>
    <row r="15" spans="2:75" ht="15" hidden="1" customHeight="1" x14ac:dyDescent="0.15"/>
    <row r="16" spans="2:75" ht="15" hidden="1" customHeight="1" x14ac:dyDescent="0.15"/>
    <row r="17" spans="2:75" ht="15" hidden="1" customHeight="1" x14ac:dyDescent="0.15"/>
    <row r="18" spans="2:75" ht="15" hidden="1" customHeight="1" x14ac:dyDescent="0.15"/>
    <row r="19" spans="2:75" ht="15" hidden="1" customHeight="1" x14ac:dyDescent="0.15"/>
    <row r="20" spans="2:75" ht="15" hidden="1" customHeight="1" x14ac:dyDescent="0.15"/>
    <row r="22" spans="2:75" ht="27.75" customHeight="1" x14ac:dyDescent="0.15">
      <c r="D22" s="6" t="s">
        <v>1901</v>
      </c>
      <c r="E22" s="6"/>
      <c r="F22" s="6"/>
      <c r="G22" s="6"/>
      <c r="H22" s="6"/>
      <c r="I22" s="6"/>
    </row>
    <row r="23" spans="2:75" ht="15" customHeight="1" x14ac:dyDescent="0.15">
      <c r="D23" s="6" t="str">
        <f>IF(org=0,"Не определено",org)</f>
        <v>КГУП "Примтеплоэнерго"</v>
      </c>
      <c r="E23" s="6"/>
      <c r="F23" s="6"/>
      <c r="G23" s="6"/>
      <c r="H23" s="6"/>
      <c r="I23" s="6"/>
    </row>
    <row r="24" spans="2:75" ht="15" customHeight="1" x14ac:dyDescent="0.15">
      <c r="G24">
        <v>22</v>
      </c>
      <c r="I24">
        <v>22</v>
      </c>
      <c r="K24" t="s">
        <v>4</v>
      </c>
      <c r="M24" t="s">
        <v>4</v>
      </c>
      <c r="O24" t="s">
        <v>4</v>
      </c>
      <c r="Q24" t="s">
        <v>4</v>
      </c>
      <c r="S24" t="s">
        <v>4</v>
      </c>
      <c r="U24" t="s">
        <v>4</v>
      </c>
      <c r="W24" t="s">
        <v>4</v>
      </c>
      <c r="Y24" t="s">
        <v>4</v>
      </c>
      <c r="AA24" t="s">
        <v>4</v>
      </c>
      <c r="AC24" t="s">
        <v>4</v>
      </c>
      <c r="AE24" t="s">
        <v>4</v>
      </c>
      <c r="AG24" t="s">
        <v>4</v>
      </c>
      <c r="AI24" t="s">
        <v>4</v>
      </c>
      <c r="AK24" t="s">
        <v>4</v>
      </c>
      <c r="AM24" t="s">
        <v>4</v>
      </c>
      <c r="AO24" t="s">
        <v>4</v>
      </c>
      <c r="AQ24" t="s">
        <v>4</v>
      </c>
      <c r="AS24" t="s">
        <v>4</v>
      </c>
      <c r="AU24" t="s">
        <v>4</v>
      </c>
      <c r="AW24" t="s">
        <v>4</v>
      </c>
      <c r="AY24" t="s">
        <v>4</v>
      </c>
      <c r="BA24" t="s">
        <v>4</v>
      </c>
      <c r="BC24" t="s">
        <v>4</v>
      </c>
      <c r="BE24" t="s">
        <v>4</v>
      </c>
      <c r="BG24" t="s">
        <v>4</v>
      </c>
      <c r="BI24" t="s">
        <v>4</v>
      </c>
      <c r="BK24" t="s">
        <v>4</v>
      </c>
      <c r="BM24" t="s">
        <v>4</v>
      </c>
      <c r="BO24" t="s">
        <v>4</v>
      </c>
      <c r="BQ24" t="s">
        <v>4</v>
      </c>
      <c r="BS24" t="s">
        <v>4</v>
      </c>
      <c r="BU24" t="s">
        <v>4</v>
      </c>
    </row>
    <row r="25" spans="2:75" ht="0.75" customHeight="1" x14ac:dyDescent="0.15">
      <c r="I25" t="s">
        <v>364</v>
      </c>
      <c r="K25" t="s">
        <v>368</v>
      </c>
      <c r="M25" t="s">
        <v>370</v>
      </c>
      <c r="O25" t="s">
        <v>372</v>
      </c>
      <c r="Q25" t="s">
        <v>374</v>
      </c>
      <c r="S25" t="s">
        <v>376</v>
      </c>
      <c r="U25" t="s">
        <v>378</v>
      </c>
      <c r="W25" t="s">
        <v>380</v>
      </c>
      <c r="Y25" t="s">
        <v>382</v>
      </c>
      <c r="AA25" t="s">
        <v>384</v>
      </c>
      <c r="AC25" t="s">
        <v>386</v>
      </c>
      <c r="AE25" t="s">
        <v>388</v>
      </c>
      <c r="AG25" t="s">
        <v>390</v>
      </c>
      <c r="AI25" t="s">
        <v>402</v>
      </c>
      <c r="AK25" t="s">
        <v>427</v>
      </c>
      <c r="AM25" t="s">
        <v>404</v>
      </c>
      <c r="AO25" t="s">
        <v>406</v>
      </c>
      <c r="AQ25" t="s">
        <v>408</v>
      </c>
      <c r="AS25" t="s">
        <v>410</v>
      </c>
      <c r="AU25" t="s">
        <v>412</v>
      </c>
      <c r="AW25" t="s">
        <v>413</v>
      </c>
      <c r="AY25" t="s">
        <v>415</v>
      </c>
      <c r="BA25" t="s">
        <v>416</v>
      </c>
      <c r="BC25" t="s">
        <v>418</v>
      </c>
      <c r="BE25" t="s">
        <v>419</v>
      </c>
      <c r="BG25" t="s">
        <v>392</v>
      </c>
      <c r="BI25" t="s">
        <v>394</v>
      </c>
      <c r="BK25" t="s">
        <v>396</v>
      </c>
      <c r="BM25" t="s">
        <v>398</v>
      </c>
      <c r="BO25" t="s">
        <v>420</v>
      </c>
      <c r="BQ25" t="s">
        <v>421</v>
      </c>
      <c r="BS25" t="s">
        <v>423</v>
      </c>
      <c r="BU25" t="s">
        <v>425</v>
      </c>
    </row>
    <row r="26" spans="2:75" ht="15" customHeight="1" x14ac:dyDescent="0.15">
      <c r="E26" s="6" t="s">
        <v>355</v>
      </c>
      <c r="F26" s="6"/>
      <c r="G26" s="6" t="str">
        <f>IF(G25="","",INDEX(DIFFERENTIATION_UNMERGE_VD,MATCH(G25,DIFFERENTIATION_ID_DIFF,0)))</f>
        <v/>
      </c>
      <c r="H26" s="6"/>
      <c r="I26" s="6" t="str">
        <f>IF(I25="","",INDEX(DIFFERENTIATION_UNMERGE_VD,MATCH(I25,DIFFERENTIATION_ID_DIFF,0)))</f>
        <v>Производство тепловой энергии. Некомбинированная выработка</v>
      </c>
      <c r="J26" s="6"/>
      <c r="K26" s="6" t="str">
        <f>IF(K25="","",INDEX(DIFFERENTIATION_UNMERGE_VD,MATCH(K25,DIFFERENTIATION_ID_DIFF,0)))</f>
        <v>Производство тепловой энергии. Некомбинированная выработка</v>
      </c>
      <c r="L26" s="6"/>
      <c r="M26" s="6" t="str">
        <f>IF(M25="","",INDEX(DIFFERENTIATION_UNMERGE_VD,MATCH(M25,DIFFERENTIATION_ID_DIFF,0)))</f>
        <v>Производство тепловой энергии. Некомбинированная выработка</v>
      </c>
      <c r="N26" s="6"/>
      <c r="O26" s="6" t="str">
        <f>IF(O25="","",INDEX(DIFFERENTIATION_UNMERGE_VD,MATCH(O25,DIFFERENTIATION_ID_DIFF,0)))</f>
        <v>Производство тепловой энергии. Некомбинированная выработка</v>
      </c>
      <c r="P26" s="6"/>
      <c r="Q26" s="6" t="str">
        <f>IF(Q25="","",INDEX(DIFFERENTIATION_UNMERGE_VD,MATCH(Q25,DIFFERENTIATION_ID_DIFF,0)))</f>
        <v>Производство тепловой энергии. Некомбинированная выработка</v>
      </c>
      <c r="R26" s="6"/>
      <c r="S26" s="6" t="str">
        <f>IF(S25="","",INDEX(DIFFERENTIATION_UNMERGE_VD,MATCH(S25,DIFFERENTIATION_ID_DIFF,0)))</f>
        <v>Производство тепловой энергии. Некомбинированная выработка</v>
      </c>
      <c r="T26" s="6"/>
      <c r="U26" s="6" t="str">
        <f>IF(U25="","",INDEX(DIFFERENTIATION_UNMERGE_VD,MATCH(U25,DIFFERENTIATION_ID_DIFF,0)))</f>
        <v>Производство тепловой энергии. Некомбинированная выработка</v>
      </c>
      <c r="V26" s="6"/>
      <c r="W26" s="6" t="str">
        <f>IF(W25="","",INDEX(DIFFERENTIATION_UNMERGE_VD,MATCH(W25,DIFFERENTIATION_ID_DIFF,0)))</f>
        <v>Производство тепловой энергии. Некомбинированная выработка</v>
      </c>
      <c r="X26" s="6"/>
      <c r="Y26" s="6" t="str">
        <f>IF(Y25="","",INDEX(DIFFERENTIATION_UNMERGE_VD,MATCH(Y25,DIFFERENTIATION_ID_DIFF,0)))</f>
        <v>Производство тепловой энергии. Некомбинированная выработка</v>
      </c>
      <c r="Z26" s="6"/>
      <c r="AA26" s="6" t="str">
        <f>IF(AA25="","",INDEX(DIFFERENTIATION_UNMERGE_VD,MATCH(AA25,DIFFERENTIATION_ID_DIFF,0)))</f>
        <v>Производство тепловой энергии. Некомбинированная выработка</v>
      </c>
      <c r="AB26" s="6"/>
      <c r="AC26" s="6" t="str">
        <f>IF(AC25="","",INDEX(DIFFERENTIATION_UNMERGE_VD,MATCH(AC25,DIFFERENTIATION_ID_DIFF,0)))</f>
        <v>Производство тепловой энергии. Некомбинированная выработка</v>
      </c>
      <c r="AD26" s="6"/>
      <c r="AE26" s="6" t="str">
        <f>IF(AE25="","",INDEX(DIFFERENTIATION_UNMERGE_VD,MATCH(AE25,DIFFERENTIATION_ID_DIFF,0)))</f>
        <v>Производство тепловой энергии. Некомбинированная выработка</v>
      </c>
      <c r="AF26" s="6"/>
      <c r="AG26" s="6" t="str">
        <f>IF(AG25="","",INDEX(DIFFERENTIATION_UNMERGE_VD,MATCH(AG25,DIFFERENTIATION_ID_DIFF,0)))</f>
        <v>Производство тепловой энергии. Некомбинированная выработка</v>
      </c>
      <c r="AH26" s="6"/>
      <c r="AI26" s="6" t="str">
        <f>IF(AI25="","",INDEX(DIFFERENTIATION_UNMERGE_VD,MATCH(AI25,DIFFERENTIATION_ID_DIFF,0)))</f>
        <v>Подключение (технологическое присоединение) к системе теплоснабжения</v>
      </c>
      <c r="AJ26" s="6"/>
      <c r="AK26" s="6" t="str">
        <f>IF(AK25="","",INDEX(DIFFERENTIATION_UNMERGE_VD,MATCH(AK25,DIFFERENTIATION_ID_DIFF,0)))</f>
        <v>Передача. Тепловая энергия</v>
      </c>
      <c r="AL26" s="6"/>
      <c r="AM26" s="6" t="str">
        <f>IF(AM25="","",INDEX(DIFFERENTIATION_UNMERGE_VD,MATCH(AM25,DIFFERENTIATION_ID_DIFF,0)))</f>
        <v>Подключение (технологическое присоединение) к системе теплоснабжения</v>
      </c>
      <c r="AN26" s="6"/>
      <c r="AO26" s="6" t="str">
        <f>IF(AO25="","",INDEX(DIFFERENTIATION_UNMERGE_VD,MATCH(AO25,DIFFERENTIATION_ID_DIFF,0)))</f>
        <v>Подключение (технологическое присоединение) к системе теплоснабжения</v>
      </c>
      <c r="AP26" s="6"/>
      <c r="AQ26" s="6" t="str">
        <f>IF(AQ25="","",INDEX(DIFFERENTIATION_UNMERGE_VD,MATCH(AQ25,DIFFERENTIATION_ID_DIFF,0)))</f>
        <v>Подключение (технологическое присоединение) к системе теплоснабжения</v>
      </c>
      <c r="AR26" s="6"/>
      <c r="AS26" s="6" t="str">
        <f>IF(AS25="","",INDEX(DIFFERENTIATION_UNMERGE_VD,MATCH(AS25,DIFFERENTIATION_ID_DIFF,0)))</f>
        <v>Подключение (технологическое присоединение) к системе теплоснабжения</v>
      </c>
      <c r="AT26" s="6"/>
      <c r="AU26" s="6" t="str">
        <f>IF(AU25="","",INDEX(DIFFERENTIATION_UNMERGE_VD,MATCH(AU25,DIFFERENTIATION_ID_DIFF,0)))</f>
        <v>Подключение (технологическое присоединение) к системе теплоснабжения</v>
      </c>
      <c r="AV26" s="6"/>
      <c r="AW26" s="6" t="str">
        <f>IF(AW25="","",INDEX(DIFFERENTIATION_UNMERGE_VD,MATCH(AW25,DIFFERENTIATION_ID_DIFF,0)))</f>
        <v>Подключение (технологическое присоединение) к системе теплоснабжения</v>
      </c>
      <c r="AX26" s="6"/>
      <c r="AY26" s="6" t="str">
        <f>IF(AY25="","",INDEX(DIFFERENTIATION_UNMERGE_VD,MATCH(AY25,DIFFERENTIATION_ID_DIFF,0)))</f>
        <v>Подключение (технологическое присоединение) к системе теплоснабжения</v>
      </c>
      <c r="AZ26" s="6"/>
      <c r="BA26" s="6" t="str">
        <f>IF(BA25="","",INDEX(DIFFERENTIATION_UNMERGE_VD,MATCH(BA25,DIFFERENTIATION_ID_DIFF,0)))</f>
        <v>Подключение (технологическое присоединение) к системе теплоснабжения</v>
      </c>
      <c r="BB26" s="6"/>
      <c r="BC26" s="6" t="str">
        <f>IF(BC25="","",INDEX(DIFFERENTIATION_UNMERGE_VD,MATCH(BC25,DIFFERENTIATION_ID_DIFF,0)))</f>
        <v>Подключение (технологическое присоединение) к системе теплоснабжения</v>
      </c>
      <c r="BD26" s="6"/>
      <c r="BE26" s="6" t="str">
        <f>IF(BE25="","",INDEX(DIFFERENTIATION_UNMERGE_VD,MATCH(BE25,DIFFERENTIATION_ID_DIFF,0)))</f>
        <v>Подключение (технологическое присоединение) к системе теплоснабжения</v>
      </c>
      <c r="BF26" s="6"/>
      <c r="BG26" s="6" t="str">
        <f>IF(BG25="","",INDEX(DIFFERENTIATION_UNMERGE_VD,MATCH(BG25,DIFFERENTIATION_ID_DIFF,0)))</f>
        <v>Производство тепловой энергии. Некомбинированная выработка</v>
      </c>
      <c r="BH26" s="6"/>
      <c r="BI26" s="6" t="str">
        <f>IF(BI25="","",INDEX(DIFFERENTIATION_UNMERGE_VD,MATCH(BI25,DIFFERENTIATION_ID_DIFF,0)))</f>
        <v>Производство тепловой энергии. Некомбинированная выработка</v>
      </c>
      <c r="BJ26" s="6"/>
      <c r="BK26" s="6" t="str">
        <f>IF(BK25="","",INDEX(DIFFERENTIATION_UNMERGE_VD,MATCH(BK25,DIFFERENTIATION_ID_DIFF,0)))</f>
        <v>Производство тепловой энергии. Некомбинированная выработка</v>
      </c>
      <c r="BL26" s="6"/>
      <c r="BM26" s="6" t="str">
        <f>IF(BM25="","",INDEX(DIFFERENTIATION_UNMERGE_VD,MATCH(BM25,DIFFERENTIATION_ID_DIFF,0)))</f>
        <v>Производство тепловой энергии. Некомбинированная выработка</v>
      </c>
      <c r="BN26" s="6"/>
      <c r="BO26" s="6" t="str">
        <f>IF(BO25="","",INDEX(DIFFERENTIATION_UNMERGE_VD,MATCH(BO25,DIFFERENTIATION_ID_DIFF,0)))</f>
        <v>Подключение (технологическое присоединение) к системе теплоснабжения</v>
      </c>
      <c r="BP26" s="6"/>
      <c r="BQ26" s="6" t="str">
        <f>IF(BQ25="","",INDEX(DIFFERENTIATION_UNMERGE_VD,MATCH(BQ25,DIFFERENTIATION_ID_DIFF,0)))</f>
        <v>Подключение (технологическое присоединение) к системе теплоснабжения</v>
      </c>
      <c r="BR26" s="6"/>
      <c r="BS26" s="6" t="str">
        <f>IF(BS25="","",INDEX(DIFFERENTIATION_UNMERGE_VD,MATCH(BS25,DIFFERENTIATION_ID_DIFF,0)))</f>
        <v>Подключение (технологическое присоединение) к системе теплоснабжения</v>
      </c>
      <c r="BT26" s="6"/>
      <c r="BU26" s="6" t="str">
        <f>IF(BU25="","",INDEX(DIFFERENTIATION_UNMERGE_VD,MATCH(BU25,DIFFERENTIATION_ID_DIFF,0)))</f>
        <v>Подключение (технологическое присоединение) к системе теплоснабжения</v>
      </c>
      <c r="BV26" s="6"/>
      <c r="BW26" s="6" t="s">
        <v>594</v>
      </c>
    </row>
    <row r="27" spans="2:75" ht="15" customHeight="1" x14ac:dyDescent="0.15">
      <c r="E27" s="6" t="s">
        <v>1680</v>
      </c>
      <c r="F27" s="6"/>
      <c r="G27" s="6" t="str">
        <f>IF(G25="","",INDEX(DIFFERENTIATION_UNMERGE_AREA,MATCH(G25,DIFFERENTIATION_ID_DIFF,0)))</f>
        <v/>
      </c>
      <c r="H27" s="6"/>
      <c r="I27" s="6" t="str">
        <f>IF(I25="","",INDEX(DIFFERENTIATION_UNMERGE_AREA,MATCH(I25,DIFFERENTIATION_ID_DIFF,0)))</f>
        <v>без дифференциации</v>
      </c>
      <c r="J27" s="6"/>
      <c r="K27" s="6" t="str">
        <f>IF(K25="","",INDEX(DIFFERENTIATION_UNMERGE_AREA,MATCH(K25,DIFFERENTIATION_ID_DIFF,0)))</f>
        <v>без дифференциации</v>
      </c>
      <c r="L27" s="6"/>
      <c r="M27" s="6" t="str">
        <f>IF(M25="","",INDEX(DIFFERENTIATION_UNMERGE_AREA,MATCH(M25,DIFFERENTIATION_ID_DIFF,0)))</f>
        <v>без дифференциации</v>
      </c>
      <c r="N27" s="6"/>
      <c r="O27" s="6" t="str">
        <f>IF(O25="","",INDEX(DIFFERENTIATION_UNMERGE_AREA,MATCH(O25,DIFFERENTIATION_ID_DIFF,0)))</f>
        <v>без дифференциации</v>
      </c>
      <c r="P27" s="6"/>
      <c r="Q27" s="6" t="str">
        <f>IF(Q25="","",INDEX(DIFFERENTIATION_UNMERGE_AREA,MATCH(Q25,DIFFERENTIATION_ID_DIFF,0)))</f>
        <v>без дифференциации</v>
      </c>
      <c r="R27" s="6"/>
      <c r="S27" s="6" t="str">
        <f>IF(S25="","",INDEX(DIFFERENTIATION_UNMERGE_AREA,MATCH(S25,DIFFERENTIATION_ID_DIFF,0)))</f>
        <v>без дифференциации</v>
      </c>
      <c r="T27" s="6"/>
      <c r="U27" s="6" t="str">
        <f>IF(U25="","",INDEX(DIFFERENTIATION_UNMERGE_AREA,MATCH(U25,DIFFERENTIATION_ID_DIFF,0)))</f>
        <v>без дифференциации</v>
      </c>
      <c r="V27" s="6"/>
      <c r="W27" s="6" t="str">
        <f>IF(W25="","",INDEX(DIFFERENTIATION_UNMERGE_AREA,MATCH(W25,DIFFERENTIATION_ID_DIFF,0)))</f>
        <v>без дифференциации</v>
      </c>
      <c r="X27" s="6"/>
      <c r="Y27" s="6" t="str">
        <f>IF(Y25="","",INDEX(DIFFERENTIATION_UNMERGE_AREA,MATCH(Y25,DIFFERENTIATION_ID_DIFF,0)))</f>
        <v>без дифференциации</v>
      </c>
      <c r="Z27" s="6"/>
      <c r="AA27" s="6" t="str">
        <f>IF(AA25="","",INDEX(DIFFERENTIATION_UNMERGE_AREA,MATCH(AA25,DIFFERENTIATION_ID_DIFF,0)))</f>
        <v>без дифференциации</v>
      </c>
      <c r="AB27" s="6"/>
      <c r="AC27" s="6" t="str">
        <f>IF(AC25="","",INDEX(DIFFERENTIATION_UNMERGE_AREA,MATCH(AC25,DIFFERENTIATION_ID_DIFF,0)))</f>
        <v>без дифференциации</v>
      </c>
      <c r="AD27" s="6"/>
      <c r="AE27" s="6" t="str">
        <f>IF(AE25="","",INDEX(DIFFERENTIATION_UNMERGE_AREA,MATCH(AE25,DIFFERENTIATION_ID_DIFF,0)))</f>
        <v>без дифференциации</v>
      </c>
      <c r="AF27" s="6"/>
      <c r="AG27" s="6" t="str">
        <f>IF(AG25="","",INDEX(DIFFERENTIATION_UNMERGE_AREA,MATCH(AG25,DIFFERENTIATION_ID_DIFF,0)))</f>
        <v>без дифференциации</v>
      </c>
      <c r="AH27" s="6"/>
      <c r="AI27" s="6" t="str">
        <f>IF(AI25="","",INDEX(DIFFERENTIATION_UNMERGE_AREA,MATCH(AI25,DIFFERENTIATION_ID_DIFF,0)))</f>
        <v>Территория 33</v>
      </c>
      <c r="AJ27" s="6"/>
      <c r="AK27" s="6" t="str">
        <f>IF(AK25="","",INDEX(DIFFERENTIATION_UNMERGE_AREA,MATCH(AK25,DIFFERENTIATION_ID_DIFF,0)))</f>
        <v>Территория 1</v>
      </c>
      <c r="AL27" s="6"/>
      <c r="AM27" s="6" t="str">
        <f>IF(AM25="","",INDEX(DIFFERENTIATION_UNMERGE_AREA,MATCH(AM25,DIFFERENTIATION_ID_DIFF,0)))</f>
        <v>Территория 25</v>
      </c>
      <c r="AN27" s="6"/>
      <c r="AO27" s="6" t="str">
        <f>IF(AO25="","",INDEX(DIFFERENTIATION_UNMERGE_AREA,MATCH(AO25,DIFFERENTIATION_ID_DIFF,0)))</f>
        <v>Территория 10</v>
      </c>
      <c r="AP27" s="6"/>
      <c r="AQ27" s="6" t="str">
        <f>IF(AQ25="","",INDEX(DIFFERENTIATION_UNMERGE_AREA,MATCH(AQ25,DIFFERENTIATION_ID_DIFF,0)))</f>
        <v>Территория 9</v>
      </c>
      <c r="AR27" s="6"/>
      <c r="AS27" s="6" t="str">
        <f>IF(AS25="","",INDEX(DIFFERENTIATION_UNMERGE_AREA,MATCH(AS25,DIFFERENTIATION_ID_DIFF,0)))</f>
        <v>Территория 4</v>
      </c>
      <c r="AT27" s="6"/>
      <c r="AU27" s="6" t="str">
        <f>IF(AU25="","",INDEX(DIFFERENTIATION_UNMERGE_AREA,MATCH(AU25,DIFFERENTIATION_ID_DIFF,0)))</f>
        <v>Территория 21</v>
      </c>
      <c r="AV27" s="6"/>
      <c r="AW27" s="6" t="str">
        <f>IF(AW25="","",INDEX(DIFFERENTIATION_UNMERGE_AREA,MATCH(AW25,DIFFERENTIATION_ID_DIFF,0)))</f>
        <v>Территория 16</v>
      </c>
      <c r="AX27" s="6"/>
      <c r="AY27" s="6" t="str">
        <f>IF(AY25="","",INDEX(DIFFERENTIATION_UNMERGE_AREA,MATCH(AY25,DIFFERENTIATION_ID_DIFF,0)))</f>
        <v>Территория 22</v>
      </c>
      <c r="AZ27" s="6"/>
      <c r="BA27" s="6" t="str">
        <f>IF(BA25="","",INDEX(DIFFERENTIATION_UNMERGE_AREA,MATCH(BA25,DIFFERENTIATION_ID_DIFF,0)))</f>
        <v>Территория 7</v>
      </c>
      <c r="BB27" s="6"/>
      <c r="BC27" s="6" t="str">
        <f>IF(BC25="","",INDEX(DIFFERENTIATION_UNMERGE_AREA,MATCH(BC25,DIFFERENTIATION_ID_DIFF,0)))</f>
        <v>Территория 15</v>
      </c>
      <c r="BD27" s="6"/>
      <c r="BE27" s="6" t="str">
        <f>IF(BE25="","",INDEX(DIFFERENTIATION_UNMERGE_AREA,MATCH(BE25,DIFFERENTIATION_ID_DIFF,0)))</f>
        <v>Территория 32</v>
      </c>
      <c r="BF27" s="6"/>
      <c r="BG27" s="6" t="str">
        <f>IF(BG25="","",INDEX(DIFFERENTIATION_UNMERGE_AREA,MATCH(BG25,DIFFERENTIATION_ID_DIFF,0)))</f>
        <v>без дифференциации</v>
      </c>
      <c r="BH27" s="6"/>
      <c r="BI27" s="6" t="str">
        <f>IF(BI25="","",INDEX(DIFFERENTIATION_UNMERGE_AREA,MATCH(BI25,DIFFERENTIATION_ID_DIFF,0)))</f>
        <v>без дифференциации</v>
      </c>
      <c r="BJ27" s="6"/>
      <c r="BK27" s="6" t="str">
        <f>IF(BK25="","",INDEX(DIFFERENTIATION_UNMERGE_AREA,MATCH(BK25,DIFFERENTIATION_ID_DIFF,0)))</f>
        <v>без дифференциации</v>
      </c>
      <c r="BL27" s="6"/>
      <c r="BM27" s="6" t="str">
        <f>IF(BM25="","",INDEX(DIFFERENTIATION_UNMERGE_AREA,MATCH(BM25,DIFFERENTIATION_ID_DIFF,0)))</f>
        <v>без дифференциации</v>
      </c>
      <c r="BN27" s="6"/>
      <c r="BO27" s="6" t="str">
        <f>IF(BO25="","",INDEX(DIFFERENTIATION_UNMERGE_AREA,MATCH(BO25,DIFFERENTIATION_ID_DIFF,0)))</f>
        <v>Территория 1</v>
      </c>
      <c r="BP27" s="6"/>
      <c r="BQ27" s="6" t="str">
        <f>IF(BQ25="","",INDEX(DIFFERENTIATION_UNMERGE_AREA,MATCH(BQ25,DIFFERENTIATION_ID_DIFF,0)))</f>
        <v>Территория 17</v>
      </c>
      <c r="BR27" s="6"/>
      <c r="BS27" s="6" t="str">
        <f>IF(BS25="","",INDEX(DIFFERENTIATION_UNMERGE_AREA,MATCH(BS25,DIFFERENTIATION_ID_DIFF,0)))</f>
        <v>Территория 23</v>
      </c>
      <c r="BT27" s="6"/>
      <c r="BU27" s="6" t="str">
        <f>IF(BU25="","",INDEX(DIFFERENTIATION_UNMERGE_AREA,MATCH(BU25,DIFFERENTIATION_ID_DIFF,0)))</f>
        <v>Территория 23</v>
      </c>
      <c r="BV27" s="6"/>
      <c r="BW27" s="6"/>
    </row>
    <row r="28" spans="2:75" ht="15" customHeight="1" x14ac:dyDescent="0.15">
      <c r="E28" s="6" t="s">
        <v>1681</v>
      </c>
      <c r="F28" s="6"/>
      <c r="G28" s="6" t="str">
        <f>IF(G25="","",INDEX(DIFFERENTIATION_UNMERGE_SYSTEM,MATCH(G25,DIFFERENTIATION_ID_DIFF,0)))</f>
        <v/>
      </c>
      <c r="H28" s="6"/>
      <c r="I28" s="6" t="str">
        <f>IF(I25="","",INDEX(DIFFERENTIATION_UNMERGE_SYSTEM,MATCH(I25,DIFFERENTIATION_ID_DIFF,0)))</f>
        <v>Единый тариф на тепловую энергию по Приморскому краю</v>
      </c>
      <c r="J28" s="6"/>
      <c r="K28" s="6" t="str">
        <f>IF(K25="","",INDEX(DIFFERENTIATION_UNMERGE_SYSTEM,MATCH(K25,DIFFERENTIATION_ID_DIFF,0)))</f>
        <v>Тариф на тепловую энергию по Арсеньевскому ГО</v>
      </c>
      <c r="L28" s="6"/>
      <c r="M28" s="6" t="str">
        <f>IF(M25="","",INDEX(DIFFERENTIATION_UNMERGE_SYSTEM,MATCH(M25,DIFFERENTIATION_ID_DIFF,0)))</f>
        <v xml:space="preserve">Тариф на тепловую энергию по городскому округгу Большой Камень
</v>
      </c>
      <c r="N28" s="6"/>
      <c r="O28" s="6" t="str">
        <f>IF(O25="","",INDEX(DIFFERENTIATION_UNMERGE_SYSTEM,MATCH(O25,DIFFERENTIATION_ID_DIFF,0)))</f>
        <v>ГВС-открытая система на территории Артемовский городской округ, Артемовский городской округ (05705000)</v>
      </c>
      <c r="P28" s="6"/>
      <c r="Q28" s="6" t="str">
        <f>IF(Q25="","",INDEX(DIFFERENTIATION_UNMERGE_SYSTEM,MATCH(Q25,DIFFERENTIATION_ID_DIFF,0)))</f>
        <v>ГВС-открытая система на территории Дальнегорский городской округ, Дальнегорский городской округ (05707000);</v>
      </c>
      <c r="R28" s="6"/>
      <c r="S28" s="6" t="str">
        <f>IF(S25="","",INDEX(DIFFERENTIATION_UNMERGE_SYSTEM,MATCH(S25,DIFFERENTIATION_ID_DIFF,0)))</f>
        <v xml:space="preserve">ГВС-открытая система на территории Кавалеровский муниципальный район, Кавалеровский муниципальный район (05610000); </v>
      </c>
      <c r="T28" s="6"/>
      <c r="U28" s="6" t="str">
        <f>IF(U25="","",INDEX(DIFFERENTIATION_UNMERGE_SYSTEM,MATCH(U25,DIFFERENTIATION_ID_DIFF,0)))</f>
        <v xml:space="preserve">ГВС-открытая система на территории Кировский муниципальный район, Горноключевское гороское поселение (05612154); </v>
      </c>
      <c r="V28" s="6"/>
      <c r="W28" s="6" t="str">
        <f>IF(W25="","",INDEX(DIFFERENTIATION_UNMERGE_SYSTEM,MATCH(W25,DIFFERENTIATION_ID_DIFF,0)))</f>
        <v xml:space="preserve">ГВС-открытая система на территории Михайловский муниципальный район, Новошахтинское городское поселение (05620154); </v>
      </c>
      <c r="X28" s="6"/>
      <c r="Y28" s="6" t="str">
        <f>IF(Y25="","",INDEX(DIFFERENTIATION_UNMERGE_SYSTEM,MATCH(Y25,DIFFERENTIATION_ID_DIFF,0)))</f>
        <v xml:space="preserve">ГВС-открытая система на территории Пожарский муниципальный район, Губеровское сельское поселение (05634407); </v>
      </c>
      <c r="Z28" s="6"/>
      <c r="AA28" s="6" t="str">
        <f>IF(AA25="","",INDEX(DIFFERENTIATION_UNMERGE_SYSTEM,MATCH(AA25,DIFFERENTIATION_ID_DIFF,0)))</f>
        <v xml:space="preserve">ГВС-открытая система на территории Пожарский муниципальный район, Нагорненское сельское поселение (05634418); </v>
      </c>
      <c r="AB28" s="6"/>
      <c r="AC28" s="6" t="str">
        <f>IF(AC25="","",INDEX(DIFFERENTIATION_UNMERGE_SYSTEM,MATCH(AC25,DIFFERENTIATION_ID_DIFF,0)))</f>
        <v xml:space="preserve">ГВС-открытая система на территории Хасанский муниципальный район, Зарубинское городское поселение (05648153); </v>
      </c>
      <c r="AD28" s="6"/>
      <c r="AE28" s="6" t="str">
        <f>IF(AE25="","",INDEX(DIFFERENTIATION_UNMERGE_SYSTEM,MATCH(AE25,DIFFERENTIATION_ID_DIFF,0)))</f>
        <v xml:space="preserve">ГВС-открытая система на территории Хасанский муниципальный район, Славянское городское поселение (05648151); </v>
      </c>
      <c r="AF28" s="6"/>
      <c r="AG28" s="6" t="str">
        <f>IF(AG25="","",INDEX(DIFFERENTIATION_UNMERGE_SYSTEM,MATCH(AG25,DIFFERENTIATION_ID_DIFF,0)))</f>
        <v xml:space="preserve">ГВС-открытая система на территории Хорольский муниципальный район, Ярославское городское поселение (05650156); </v>
      </c>
      <c r="AH28" s="6"/>
      <c r="AI28" s="6" t="str">
        <f>IF(AI25="","",INDEX(DIFFERENTIATION_UNMERGE_SYSTEM,MATCH(AI25,DIFFERENTIATION_ID_DIFF,0)))</f>
        <v>Городской округ Большой Камень</v>
      </c>
      <c r="AJ28" s="6"/>
      <c r="AK28" s="6" t="str">
        <f>IF(AK25="","",INDEX(DIFFERENTIATION_UNMERGE_SYSTEM,MATCH(AK25,DIFFERENTIATION_ID_DIFF,0)))</f>
        <v xml:space="preserve">Лесозаводский городской округ, Лесозаводский городской округ (05711000);
</v>
      </c>
      <c r="AL28" s="6"/>
      <c r="AM28" s="6" t="str">
        <f>IF(AM25="","",INDEX(DIFFERENTIATION_UNMERGE_SYSTEM,MATCH(AM25,DIFFERENTIATION_ID_DIFF,0)))</f>
        <v>Черниговский муниципальный район</v>
      </c>
      <c r="AN28" s="6"/>
      <c r="AO28" s="6" t="str">
        <f>IF(AO25="","",INDEX(DIFFERENTIATION_UNMERGE_SYSTEM,MATCH(AO25,DIFFERENTIATION_ID_DIFF,0)))</f>
        <v>Спасское МО</v>
      </c>
      <c r="AP28" s="6"/>
      <c r="AQ28" s="6" t="str">
        <f>IF(AQ25="","",INDEX(DIFFERENTIATION_UNMERGE_SYSTEM,MATCH(AQ25,DIFFERENTIATION_ID_DIFF,0)))</f>
        <v>Городской округ Спасск Дальний</v>
      </c>
      <c r="AR28" s="6"/>
      <c r="AS28" s="6" t="str">
        <f>IF(AS25="","",INDEX(DIFFERENTIATION_UNMERGE_SYSTEM,MATCH(AS25,DIFFERENTIATION_ID_DIFF,0)))</f>
        <v>Дальнереченский  городской округ</v>
      </c>
      <c r="AT28" s="6"/>
      <c r="AU28" s="6" t="str">
        <f>IF(AU25="","",INDEX(DIFFERENTIATION_UNMERGE_SYSTEM,MATCH(AU25,DIFFERENTIATION_ID_DIFF,0)))</f>
        <v>Пожарский муниципальное образование</v>
      </c>
      <c r="AV28" s="6"/>
      <c r="AW28" s="6" t="str">
        <f>IF(AW25="","",INDEX(DIFFERENTIATION_UNMERGE_SYSTEM,MATCH(AW25,DIFFERENTIATION_ID_DIFF,0)))</f>
        <v>Михайловский муниципальный район</v>
      </c>
      <c r="AX28" s="6"/>
      <c r="AY28" s="6" t="str">
        <f>IF(AY25="","",INDEX(DIFFERENTIATION_UNMERGE_SYSTEM,MATCH(AY25,DIFFERENTIATION_ID_DIFF,0)))</f>
        <v>Ханкайский муниципальный район</v>
      </c>
      <c r="AZ28" s="6"/>
      <c r="BA28" s="6" t="str">
        <f>IF(BA25="","",INDEX(DIFFERENTIATION_UNMERGE_SYSTEM,MATCH(BA25,DIFFERENTIATION_ID_DIFF,0)))</f>
        <v>Находкинский городской округ</v>
      </c>
      <c r="BB28" s="6"/>
      <c r="BC28" s="6" t="str">
        <f>IF(BC25="","",INDEX(DIFFERENTIATION_UNMERGE_SYSTEM,MATCH(BC25,DIFFERENTIATION_ID_DIFF,0)))</f>
        <v>Лазовский МО</v>
      </c>
      <c r="BD28" s="6"/>
      <c r="BE28" s="6" t="str">
        <f>IF(BE25="","",INDEX(DIFFERENTIATION_UNMERGE_SYSTEM,MATCH(BE25,DIFFERENTIATION_ID_DIFF,0)))</f>
        <v>Арсеньевский городской округ</v>
      </c>
      <c r="BF28" s="6"/>
      <c r="BG28" s="6" t="str">
        <f>IF(BG25="","",INDEX(DIFFERENTIATION_UNMERGE_SYSTEM,MATCH(BG25,DIFFERENTIATION_ID_DIFF,0)))</f>
        <v xml:space="preserve">ГВС-открытая система на территории Шкотовский муниципальный район, Штыковское сельское поселение (05657432); </v>
      </c>
      <c r="BH28" s="6"/>
      <c r="BI28" s="6" t="str">
        <f>IF(BI25="","",INDEX(DIFFERENTIATION_UNMERGE_SYSTEM,MATCH(BI25,DIFFERENTIATION_ID_DIFF,0)))</f>
        <v>ГВС-открытая система на территории Владивостокского городского округа (05701000).</v>
      </c>
      <c r="BJ28" s="6"/>
      <c r="BK28" s="6" t="str">
        <f>IF(BK25="","",INDEX(DIFFERENTIATION_UNMERGE_SYSTEM,MATCH(BK25,DIFFERENTIATION_ID_DIFF,0)))</f>
        <v xml:space="preserve">ГВС-открытая система на территории Арсеньевский городской округ, (05703000);
</v>
      </c>
      <c r="BL28" s="6"/>
      <c r="BM28" s="6" t="str">
        <f>IF(BM25="","",INDEX(DIFFERENTIATION_UNMERGE_SYSTEM,MATCH(BM25,DIFFERENTIATION_ID_DIFF,0)))</f>
        <v xml:space="preserve">ГВС-открытая система на территории городской округ Большой Камень, (05706000);
</v>
      </c>
      <c r="BN28" s="6"/>
      <c r="BO28" s="6" t="str">
        <f>IF(BO25="","",INDEX(DIFFERENTIATION_UNMERGE_SYSTEM,MATCH(BO25,DIFFERENTIATION_ID_DIFF,0)))</f>
        <v>Артемовский городской округ</v>
      </c>
      <c r="BP28" s="6"/>
      <c r="BQ28" s="6" t="str">
        <f>IF(BQ25="","",INDEX(DIFFERENTIATION_UNMERGE_SYSTEM,MATCH(BQ25,DIFFERENTIATION_ID_DIFF,0)))</f>
        <v>Надеждинский муниципальный район</v>
      </c>
      <c r="BR28" s="6"/>
      <c r="BS28" s="6" t="str">
        <f>IF(BS25="","",INDEX(DIFFERENTIATION_UNMERGE_SYSTEM,MATCH(BS25,DIFFERENTIATION_ID_DIFF,0)))</f>
        <v>Приморское городское поселение</v>
      </c>
      <c r="BT28" s="6"/>
      <c r="BU28" s="6" t="str">
        <f>IF(BU25="","",INDEX(DIFFERENTIATION_UNMERGE_SYSTEM,MATCH(BU25,DIFFERENTIATION_ID_DIFF,0)))</f>
        <v xml:space="preserve">Безверховское сельское поселение </v>
      </c>
      <c r="BV28" s="6"/>
      <c r="BW28" s="6"/>
    </row>
    <row r="29" spans="2:75" ht="15" customHeight="1" x14ac:dyDescent="0.15">
      <c r="D29" s="6" t="s">
        <v>593</v>
      </c>
      <c r="E29" s="6"/>
      <c r="F29" s="6"/>
      <c r="BW29" s="6"/>
    </row>
    <row r="30" spans="2:75" ht="33.75" customHeight="1" x14ac:dyDescent="0.15">
      <c r="D30" t="s">
        <v>75</v>
      </c>
      <c r="E30" t="s">
        <v>595</v>
      </c>
      <c r="F30" t="s">
        <v>1859</v>
      </c>
      <c r="G30" t="s">
        <v>596</v>
      </c>
      <c r="H30" t="s">
        <v>685</v>
      </c>
      <c r="I30" t="s">
        <v>596</v>
      </c>
      <c r="J30" t="s">
        <v>685</v>
      </c>
      <c r="K30" t="s">
        <v>596</v>
      </c>
      <c r="L30" t="s">
        <v>685</v>
      </c>
      <c r="M30" t="s">
        <v>596</v>
      </c>
      <c r="N30" t="s">
        <v>685</v>
      </c>
      <c r="O30" t="s">
        <v>596</v>
      </c>
      <c r="P30" t="s">
        <v>685</v>
      </c>
      <c r="Q30" t="s">
        <v>596</v>
      </c>
      <c r="R30" t="s">
        <v>685</v>
      </c>
      <c r="S30" t="s">
        <v>596</v>
      </c>
      <c r="T30" t="s">
        <v>685</v>
      </c>
      <c r="U30" t="s">
        <v>596</v>
      </c>
      <c r="V30" t="s">
        <v>685</v>
      </c>
      <c r="W30" t="s">
        <v>596</v>
      </c>
      <c r="X30" t="s">
        <v>685</v>
      </c>
      <c r="Y30" t="s">
        <v>596</v>
      </c>
      <c r="Z30" t="s">
        <v>685</v>
      </c>
      <c r="AA30" t="s">
        <v>596</v>
      </c>
      <c r="AB30" t="s">
        <v>685</v>
      </c>
      <c r="AC30" t="s">
        <v>596</v>
      </c>
      <c r="AD30" t="s">
        <v>685</v>
      </c>
      <c r="AE30" t="s">
        <v>596</v>
      </c>
      <c r="AF30" t="s">
        <v>685</v>
      </c>
      <c r="AG30" t="s">
        <v>596</v>
      </c>
      <c r="AH30" t="s">
        <v>685</v>
      </c>
      <c r="AI30" t="s">
        <v>596</v>
      </c>
      <c r="AJ30" t="s">
        <v>685</v>
      </c>
      <c r="AK30" t="s">
        <v>596</v>
      </c>
      <c r="AL30" t="s">
        <v>685</v>
      </c>
      <c r="AM30" t="s">
        <v>596</v>
      </c>
      <c r="AN30" t="s">
        <v>685</v>
      </c>
      <c r="AO30" t="s">
        <v>596</v>
      </c>
      <c r="AP30" t="s">
        <v>685</v>
      </c>
      <c r="AQ30" t="s">
        <v>596</v>
      </c>
      <c r="AR30" t="s">
        <v>685</v>
      </c>
      <c r="AS30" t="s">
        <v>596</v>
      </c>
      <c r="AT30" t="s">
        <v>685</v>
      </c>
      <c r="AU30" t="s">
        <v>596</v>
      </c>
      <c r="AV30" t="s">
        <v>685</v>
      </c>
      <c r="AW30" t="s">
        <v>596</v>
      </c>
      <c r="AX30" t="s">
        <v>685</v>
      </c>
      <c r="AY30" t="s">
        <v>596</v>
      </c>
      <c r="AZ30" t="s">
        <v>685</v>
      </c>
      <c r="BA30" t="s">
        <v>596</v>
      </c>
      <c r="BB30" t="s">
        <v>685</v>
      </c>
      <c r="BC30" t="s">
        <v>596</v>
      </c>
      <c r="BD30" t="s">
        <v>685</v>
      </c>
      <c r="BE30" t="s">
        <v>596</v>
      </c>
      <c r="BF30" t="s">
        <v>685</v>
      </c>
      <c r="BG30" t="s">
        <v>596</v>
      </c>
      <c r="BH30" t="s">
        <v>685</v>
      </c>
      <c r="BI30" t="s">
        <v>596</v>
      </c>
      <c r="BJ30" t="s">
        <v>685</v>
      </c>
      <c r="BK30" t="s">
        <v>596</v>
      </c>
      <c r="BL30" t="s">
        <v>685</v>
      </c>
      <c r="BM30" t="s">
        <v>596</v>
      </c>
      <c r="BN30" t="s">
        <v>685</v>
      </c>
      <c r="BO30" t="s">
        <v>596</v>
      </c>
      <c r="BP30" t="s">
        <v>685</v>
      </c>
      <c r="BQ30" t="s">
        <v>596</v>
      </c>
      <c r="BR30" t="s">
        <v>685</v>
      </c>
      <c r="BS30" t="s">
        <v>596</v>
      </c>
      <c r="BT30" t="s">
        <v>685</v>
      </c>
      <c r="BU30" t="s">
        <v>596</v>
      </c>
      <c r="BV30" t="s">
        <v>685</v>
      </c>
      <c r="BW30" s="6"/>
    </row>
    <row r="31" spans="2:75" ht="15" hidden="1" customHeight="1" x14ac:dyDescent="0.15"/>
    <row r="32" spans="2:75" ht="22.5" customHeight="1" x14ac:dyDescent="0.15">
      <c r="B32" t="s">
        <v>1902</v>
      </c>
      <c r="D32">
        <v>1</v>
      </c>
      <c r="E32" t="s">
        <v>1903</v>
      </c>
      <c r="F32" t="s">
        <v>599</v>
      </c>
      <c r="G32" t="s">
        <v>599</v>
      </c>
      <c r="H32" t="s">
        <v>599</v>
      </c>
      <c r="I32" t="s">
        <v>599</v>
      </c>
      <c r="J32" t="s">
        <v>599</v>
      </c>
      <c r="K32" t="s">
        <v>599</v>
      </c>
      <c r="L32" t="s">
        <v>599</v>
      </c>
      <c r="M32" t="s">
        <v>599</v>
      </c>
      <c r="N32" t="s">
        <v>599</v>
      </c>
      <c r="O32" t="s">
        <v>599</v>
      </c>
      <c r="P32" t="s">
        <v>599</v>
      </c>
      <c r="Q32" t="s">
        <v>599</v>
      </c>
      <c r="R32" t="s">
        <v>599</v>
      </c>
      <c r="S32" t="s">
        <v>599</v>
      </c>
      <c r="T32" t="s">
        <v>599</v>
      </c>
      <c r="U32" t="s">
        <v>599</v>
      </c>
      <c r="V32" t="s">
        <v>599</v>
      </c>
      <c r="W32" t="s">
        <v>599</v>
      </c>
      <c r="X32" t="s">
        <v>599</v>
      </c>
      <c r="Y32" t="s">
        <v>599</v>
      </c>
      <c r="Z32" t="s">
        <v>599</v>
      </c>
      <c r="AA32" t="s">
        <v>599</v>
      </c>
      <c r="AB32" t="s">
        <v>599</v>
      </c>
      <c r="AC32" t="s">
        <v>599</v>
      </c>
      <c r="AD32" t="s">
        <v>599</v>
      </c>
      <c r="AE32" t="s">
        <v>599</v>
      </c>
      <c r="AF32" t="s">
        <v>599</v>
      </c>
      <c r="AG32" t="s">
        <v>599</v>
      </c>
      <c r="AH32" t="s">
        <v>599</v>
      </c>
      <c r="AI32" t="s">
        <v>599</v>
      </c>
      <c r="AJ32" t="s">
        <v>599</v>
      </c>
      <c r="AK32" t="s">
        <v>599</v>
      </c>
      <c r="AL32" t="s">
        <v>599</v>
      </c>
      <c r="AM32" t="s">
        <v>599</v>
      </c>
      <c r="AN32" t="s">
        <v>599</v>
      </c>
      <c r="AO32" t="s">
        <v>599</v>
      </c>
      <c r="AP32" t="s">
        <v>599</v>
      </c>
      <c r="AQ32" t="s">
        <v>599</v>
      </c>
      <c r="AR32" t="s">
        <v>599</v>
      </c>
      <c r="AS32" t="s">
        <v>599</v>
      </c>
      <c r="AT32" t="s">
        <v>599</v>
      </c>
      <c r="AU32" t="s">
        <v>599</v>
      </c>
      <c r="AV32" t="s">
        <v>599</v>
      </c>
      <c r="AW32" t="s">
        <v>599</v>
      </c>
      <c r="AX32" t="s">
        <v>599</v>
      </c>
      <c r="AY32" t="s">
        <v>599</v>
      </c>
      <c r="AZ32" t="s">
        <v>599</v>
      </c>
      <c r="BA32" t="s">
        <v>599</v>
      </c>
      <c r="BB32" t="s">
        <v>599</v>
      </c>
      <c r="BC32" t="s">
        <v>599</v>
      </c>
      <c r="BD32" t="s">
        <v>599</v>
      </c>
      <c r="BE32" t="s">
        <v>599</v>
      </c>
      <c r="BF32" t="s">
        <v>599</v>
      </c>
      <c r="BG32" t="s">
        <v>599</v>
      </c>
      <c r="BH32" t="s">
        <v>599</v>
      </c>
      <c r="BI32" t="s">
        <v>599</v>
      </c>
      <c r="BJ32" t="s">
        <v>599</v>
      </c>
      <c r="BK32" t="s">
        <v>599</v>
      </c>
      <c r="BL32" t="s">
        <v>599</v>
      </c>
      <c r="BM32" t="s">
        <v>599</v>
      </c>
      <c r="BN32" t="s">
        <v>599</v>
      </c>
      <c r="BO32" t="s">
        <v>599</v>
      </c>
      <c r="BP32" t="s">
        <v>599</v>
      </c>
      <c r="BQ32" t="s">
        <v>599</v>
      </c>
      <c r="BR32" t="s">
        <v>599</v>
      </c>
      <c r="BS32" t="s">
        <v>599</v>
      </c>
      <c r="BT32" t="s">
        <v>599</v>
      </c>
      <c r="BU32" t="s">
        <v>599</v>
      </c>
      <c r="BV32" t="s">
        <v>599</v>
      </c>
    </row>
    <row r="33" spans="2:75" ht="11.25" customHeight="1" x14ac:dyDescent="0.15">
      <c r="E33" t="s">
        <v>1816</v>
      </c>
    </row>
    <row r="34" spans="2:75" ht="22.5" customHeight="1" x14ac:dyDescent="0.15">
      <c r="B34" t="s">
        <v>1713</v>
      </c>
      <c r="D34">
        <v>2</v>
      </c>
      <c r="E34" t="s">
        <v>1904</v>
      </c>
      <c r="F34" t="s">
        <v>599</v>
      </c>
      <c r="G34" t="s">
        <v>599</v>
      </c>
      <c r="H34" t="s">
        <v>599</v>
      </c>
      <c r="K34" t="s">
        <v>599</v>
      </c>
      <c r="L34" t="s">
        <v>599</v>
      </c>
      <c r="M34" t="s">
        <v>599</v>
      </c>
      <c r="N34" t="s">
        <v>599</v>
      </c>
      <c r="O34" t="s">
        <v>599</v>
      </c>
      <c r="P34" t="s">
        <v>599</v>
      </c>
      <c r="Q34" t="s">
        <v>599</v>
      </c>
      <c r="R34" t="s">
        <v>599</v>
      </c>
      <c r="S34" t="s">
        <v>599</v>
      </c>
      <c r="T34" t="s">
        <v>599</v>
      </c>
      <c r="U34" t="s">
        <v>599</v>
      </c>
      <c r="V34" t="s">
        <v>599</v>
      </c>
      <c r="W34" t="s">
        <v>599</v>
      </c>
      <c r="X34" t="s">
        <v>599</v>
      </c>
      <c r="Y34" t="s">
        <v>599</v>
      </c>
      <c r="Z34" t="s">
        <v>599</v>
      </c>
      <c r="AA34" t="s">
        <v>599</v>
      </c>
      <c r="AB34" t="s">
        <v>599</v>
      </c>
      <c r="AC34" t="s">
        <v>599</v>
      </c>
      <c r="AD34" t="s">
        <v>599</v>
      </c>
      <c r="AE34" t="s">
        <v>599</v>
      </c>
      <c r="AF34" t="s">
        <v>599</v>
      </c>
      <c r="AG34" t="s">
        <v>599</v>
      </c>
      <c r="AH34" t="s">
        <v>599</v>
      </c>
      <c r="AI34" t="s">
        <v>599</v>
      </c>
      <c r="AJ34" t="s">
        <v>599</v>
      </c>
      <c r="AK34" t="s">
        <v>599</v>
      </c>
      <c r="AL34" t="s">
        <v>599</v>
      </c>
      <c r="AM34" t="s">
        <v>599</v>
      </c>
      <c r="AN34" t="s">
        <v>599</v>
      </c>
      <c r="AO34" t="s">
        <v>599</v>
      </c>
      <c r="AP34" t="s">
        <v>599</v>
      </c>
      <c r="AQ34" t="s">
        <v>599</v>
      </c>
      <c r="AR34" t="s">
        <v>599</v>
      </c>
      <c r="AS34" t="s">
        <v>599</v>
      </c>
      <c r="AT34" t="s">
        <v>599</v>
      </c>
      <c r="AU34" t="s">
        <v>599</v>
      </c>
      <c r="AV34" t="s">
        <v>599</v>
      </c>
      <c r="AW34" t="s">
        <v>599</v>
      </c>
      <c r="AX34" t="s">
        <v>599</v>
      </c>
      <c r="AY34" t="s">
        <v>599</v>
      </c>
      <c r="AZ34" t="s">
        <v>599</v>
      </c>
      <c r="BA34" t="s">
        <v>599</v>
      </c>
      <c r="BB34" t="s">
        <v>599</v>
      </c>
      <c r="BC34" t="s">
        <v>599</v>
      </c>
      <c r="BD34" t="s">
        <v>599</v>
      </c>
      <c r="BE34" t="s">
        <v>599</v>
      </c>
      <c r="BF34" t="s">
        <v>599</v>
      </c>
      <c r="BG34" t="s">
        <v>599</v>
      </c>
      <c r="BH34" t="s">
        <v>599</v>
      </c>
      <c r="BI34" t="s">
        <v>599</v>
      </c>
      <c r="BJ34" t="s">
        <v>599</v>
      </c>
      <c r="BK34" t="s">
        <v>599</v>
      </c>
      <c r="BL34" t="s">
        <v>599</v>
      </c>
      <c r="BM34" t="s">
        <v>599</v>
      </c>
      <c r="BN34" t="s">
        <v>599</v>
      </c>
      <c r="BO34" t="s">
        <v>599</v>
      </c>
      <c r="BP34" t="s">
        <v>599</v>
      </c>
      <c r="BQ34" t="s">
        <v>599</v>
      </c>
      <c r="BR34" t="s">
        <v>599</v>
      </c>
      <c r="BS34" t="s">
        <v>599</v>
      </c>
      <c r="BT34" t="s">
        <v>599</v>
      </c>
      <c r="BU34" t="s">
        <v>599</v>
      </c>
      <c r="BV34" t="s">
        <v>599</v>
      </c>
    </row>
    <row r="35" spans="2:75" ht="11.25" customHeight="1" x14ac:dyDescent="0.15">
      <c r="E35" t="s">
        <v>1905</v>
      </c>
    </row>
    <row r="36" spans="2:75" ht="67.5" customHeight="1" x14ac:dyDescent="0.15">
      <c r="B36" t="s">
        <v>1906</v>
      </c>
      <c r="D36">
        <v>3</v>
      </c>
      <c r="E36" t="s">
        <v>1907</v>
      </c>
      <c r="F36" t="s">
        <v>599</v>
      </c>
      <c r="G36" t="s">
        <v>1908</v>
      </c>
      <c r="H36" t="s">
        <v>599</v>
      </c>
      <c r="I36" t="s">
        <v>1908</v>
      </c>
      <c r="J36" t="s">
        <v>599</v>
      </c>
      <c r="K36" t="s">
        <v>1908</v>
      </c>
      <c r="L36" t="s">
        <v>599</v>
      </c>
      <c r="M36" t="s">
        <v>1908</v>
      </c>
      <c r="N36" t="s">
        <v>599</v>
      </c>
      <c r="O36" t="s">
        <v>1908</v>
      </c>
      <c r="P36" t="s">
        <v>599</v>
      </c>
      <c r="Q36" t="s">
        <v>1908</v>
      </c>
      <c r="R36" t="s">
        <v>599</v>
      </c>
      <c r="S36" t="s">
        <v>1908</v>
      </c>
      <c r="T36" t="s">
        <v>599</v>
      </c>
      <c r="U36" t="s">
        <v>1908</v>
      </c>
      <c r="V36" t="s">
        <v>599</v>
      </c>
      <c r="W36" t="s">
        <v>1908</v>
      </c>
      <c r="X36" t="s">
        <v>599</v>
      </c>
      <c r="Y36" t="s">
        <v>1908</v>
      </c>
      <c r="Z36" t="s">
        <v>599</v>
      </c>
      <c r="AA36" t="s">
        <v>1908</v>
      </c>
      <c r="AB36" t="s">
        <v>599</v>
      </c>
      <c r="AC36" t="s">
        <v>1908</v>
      </c>
      <c r="AD36" t="s">
        <v>599</v>
      </c>
      <c r="AE36" t="s">
        <v>1908</v>
      </c>
      <c r="AF36" t="s">
        <v>599</v>
      </c>
      <c r="AG36" t="s">
        <v>1908</v>
      </c>
      <c r="AH36" t="s">
        <v>599</v>
      </c>
      <c r="AI36" t="s">
        <v>1908</v>
      </c>
      <c r="AJ36" t="s">
        <v>599</v>
      </c>
      <c r="AK36" t="s">
        <v>1908</v>
      </c>
      <c r="AL36" t="s">
        <v>599</v>
      </c>
      <c r="AM36" t="s">
        <v>1908</v>
      </c>
      <c r="AN36" t="s">
        <v>599</v>
      </c>
      <c r="AO36" t="s">
        <v>1908</v>
      </c>
      <c r="AP36" t="s">
        <v>599</v>
      </c>
      <c r="AQ36" t="s">
        <v>1908</v>
      </c>
      <c r="AR36" t="s">
        <v>599</v>
      </c>
      <c r="AS36" t="s">
        <v>1908</v>
      </c>
      <c r="AT36" t="s">
        <v>599</v>
      </c>
      <c r="AU36" t="s">
        <v>1908</v>
      </c>
      <c r="AV36" t="s">
        <v>599</v>
      </c>
      <c r="AW36" t="s">
        <v>1908</v>
      </c>
      <c r="AX36" t="s">
        <v>599</v>
      </c>
      <c r="AY36" t="s">
        <v>1908</v>
      </c>
      <c r="AZ36" t="s">
        <v>599</v>
      </c>
      <c r="BA36" t="s">
        <v>1908</v>
      </c>
      <c r="BB36" t="s">
        <v>599</v>
      </c>
      <c r="BC36" t="s">
        <v>1908</v>
      </c>
      <c r="BD36" t="s">
        <v>599</v>
      </c>
      <c r="BE36" t="s">
        <v>1908</v>
      </c>
      <c r="BF36" t="s">
        <v>599</v>
      </c>
      <c r="BG36" t="s">
        <v>1908</v>
      </c>
      <c r="BH36" t="s">
        <v>599</v>
      </c>
      <c r="BI36" t="s">
        <v>1908</v>
      </c>
      <c r="BJ36" t="s">
        <v>599</v>
      </c>
      <c r="BK36" t="s">
        <v>1908</v>
      </c>
      <c r="BL36" t="s">
        <v>599</v>
      </c>
      <c r="BM36" t="s">
        <v>1908</v>
      </c>
      <c r="BN36" t="s">
        <v>599</v>
      </c>
      <c r="BO36" t="s">
        <v>1908</v>
      </c>
      <c r="BP36" t="s">
        <v>599</v>
      </c>
      <c r="BQ36" t="s">
        <v>1908</v>
      </c>
      <c r="BR36" t="s">
        <v>599</v>
      </c>
      <c r="BS36" t="s">
        <v>1908</v>
      </c>
      <c r="BT36" t="s">
        <v>599</v>
      </c>
      <c r="BU36" t="s">
        <v>1908</v>
      </c>
      <c r="BV36" t="s">
        <v>599</v>
      </c>
      <c r="BW36" t="s">
        <v>1909</v>
      </c>
    </row>
    <row r="37" spans="2:75" ht="11.25" customHeight="1" x14ac:dyDescent="0.15">
      <c r="E37" t="s">
        <v>1910</v>
      </c>
    </row>
    <row r="38" spans="2:75" ht="67.5" customHeight="1" x14ac:dyDescent="0.15">
      <c r="B38" t="s">
        <v>1911</v>
      </c>
      <c r="D38">
        <v>4</v>
      </c>
      <c r="E38" t="s">
        <v>1912</v>
      </c>
      <c r="F38" t="s">
        <v>599</v>
      </c>
      <c r="G38" t="s">
        <v>1908</v>
      </c>
      <c r="H38" t="s">
        <v>599</v>
      </c>
      <c r="I38" t="s">
        <v>1908</v>
      </c>
      <c r="J38" t="s">
        <v>599</v>
      </c>
      <c r="K38" t="s">
        <v>1908</v>
      </c>
      <c r="L38" t="s">
        <v>599</v>
      </c>
      <c r="M38" t="s">
        <v>1908</v>
      </c>
      <c r="N38" t="s">
        <v>599</v>
      </c>
      <c r="O38" t="s">
        <v>1908</v>
      </c>
      <c r="P38" t="s">
        <v>599</v>
      </c>
      <c r="Q38" t="s">
        <v>1908</v>
      </c>
      <c r="R38" t="s">
        <v>599</v>
      </c>
      <c r="S38" t="s">
        <v>1908</v>
      </c>
      <c r="T38" t="s">
        <v>599</v>
      </c>
      <c r="U38" t="s">
        <v>1908</v>
      </c>
      <c r="V38" t="s">
        <v>599</v>
      </c>
      <c r="W38" t="s">
        <v>1908</v>
      </c>
      <c r="X38" t="s">
        <v>599</v>
      </c>
      <c r="Y38" t="s">
        <v>1908</v>
      </c>
      <c r="Z38" t="s">
        <v>599</v>
      </c>
      <c r="AA38" t="s">
        <v>1908</v>
      </c>
      <c r="AB38" t="s">
        <v>599</v>
      </c>
      <c r="AC38" t="s">
        <v>1908</v>
      </c>
      <c r="AD38" t="s">
        <v>599</v>
      </c>
      <c r="AE38" t="s">
        <v>1908</v>
      </c>
      <c r="AF38" t="s">
        <v>599</v>
      </c>
      <c r="AG38" t="s">
        <v>1908</v>
      </c>
      <c r="AH38" t="s">
        <v>599</v>
      </c>
      <c r="AI38" t="s">
        <v>1908</v>
      </c>
      <c r="AJ38" t="s">
        <v>599</v>
      </c>
      <c r="AK38" t="s">
        <v>1908</v>
      </c>
      <c r="AL38" t="s">
        <v>599</v>
      </c>
      <c r="AM38" t="s">
        <v>1908</v>
      </c>
      <c r="AN38" t="s">
        <v>599</v>
      </c>
      <c r="AO38" t="s">
        <v>1908</v>
      </c>
      <c r="AP38" t="s">
        <v>599</v>
      </c>
      <c r="AQ38" t="s">
        <v>1908</v>
      </c>
      <c r="AR38" t="s">
        <v>599</v>
      </c>
      <c r="AS38" t="s">
        <v>1908</v>
      </c>
      <c r="AT38" t="s">
        <v>599</v>
      </c>
      <c r="AU38" t="s">
        <v>1908</v>
      </c>
      <c r="AV38" t="s">
        <v>599</v>
      </c>
      <c r="AW38" t="s">
        <v>1908</v>
      </c>
      <c r="AX38" t="s">
        <v>599</v>
      </c>
      <c r="AY38" t="s">
        <v>1908</v>
      </c>
      <c r="AZ38" t="s">
        <v>599</v>
      </c>
      <c r="BA38" t="s">
        <v>1908</v>
      </c>
      <c r="BB38" t="s">
        <v>599</v>
      </c>
      <c r="BC38" t="s">
        <v>1908</v>
      </c>
      <c r="BD38" t="s">
        <v>599</v>
      </c>
      <c r="BE38" t="s">
        <v>1908</v>
      </c>
      <c r="BF38" t="s">
        <v>599</v>
      </c>
      <c r="BG38" t="s">
        <v>1908</v>
      </c>
      <c r="BH38" t="s">
        <v>599</v>
      </c>
      <c r="BI38" t="s">
        <v>1908</v>
      </c>
      <c r="BJ38" t="s">
        <v>599</v>
      </c>
      <c r="BK38" t="s">
        <v>1908</v>
      </c>
      <c r="BL38" t="s">
        <v>599</v>
      </c>
      <c r="BM38" t="s">
        <v>1908</v>
      </c>
      <c r="BN38" t="s">
        <v>599</v>
      </c>
      <c r="BO38" t="s">
        <v>1908</v>
      </c>
      <c r="BP38" t="s">
        <v>599</v>
      </c>
      <c r="BQ38" t="s">
        <v>1908</v>
      </c>
      <c r="BR38" t="s">
        <v>599</v>
      </c>
      <c r="BS38" t="s">
        <v>1908</v>
      </c>
      <c r="BT38" t="s">
        <v>599</v>
      </c>
      <c r="BU38" t="s">
        <v>1908</v>
      </c>
      <c r="BV38" t="s">
        <v>599</v>
      </c>
      <c r="BW38" t="s">
        <v>1913</v>
      </c>
    </row>
    <row r="39" spans="2:75" ht="11.25" customHeight="1" x14ac:dyDescent="0.15">
      <c r="E39" t="s">
        <v>1914</v>
      </c>
    </row>
  </sheetData>
  <sheetProtection formatColumns="0" formatRows="0" insertRows="0" deleteColumns="0" deleteRows="0" sort="0" autoFilter="0"/>
  <mergeCells count="117">
    <mergeCell ref="B3:B4"/>
    <mergeCell ref="C3:C4"/>
    <mergeCell ref="B6:B7"/>
    <mergeCell ref="C6:C7"/>
    <mergeCell ref="B9:B11"/>
    <mergeCell ref="C9:C11"/>
    <mergeCell ref="B13:B14"/>
    <mergeCell ref="C13:C14"/>
    <mergeCell ref="D22:I22"/>
    <mergeCell ref="D23:I23"/>
    <mergeCell ref="I26:J26"/>
    <mergeCell ref="E26:F26"/>
    <mergeCell ref="G28:H28"/>
    <mergeCell ref="BW26:B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U28:BV28"/>
    <mergeCell ref="BU26:BV26"/>
    <mergeCell ref="BU27:BV27"/>
    <mergeCell ref="BO28:BP28"/>
    <mergeCell ref="BO26:BP26"/>
    <mergeCell ref="BO27:BP27"/>
    <mergeCell ref="BQ28:BR28"/>
    <mergeCell ref="BQ26:BR26"/>
    <mergeCell ref="BQ27:BR27"/>
    <mergeCell ref="BS28:BT28"/>
    <mergeCell ref="BS26:BT26"/>
    <mergeCell ref="BS27:B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J3:J4 L3:L4 N3:N4 P3:P4 R3:R4 T3:T4 V3:V4 X3:X4 Z3:Z4 AB3:AB4 AD3:AD4 AF3:AF4 AH3:AH4 AJ3:AJ4 AL3:AL4 AN3:AN4 AP3:AP4 AR3:AR4 AT3:AT4 AV3:AV4 AX3:AX4 AZ3:AZ4 BB3:BB4 BD3:BD4 BF3:BF4 BH3:BH4 BJ3:BJ4 BL3:BL4 BN3:BN4 BP3:BP4 BR3:BR4 BT3:BT4 BV3:BV4 J6:J7 L6:L7 N6:N7 P6:P7 R6:R7 T6:T7 V6:V7 X6:X7 Z6:Z7 AB6:AB7 AD6:AD7 AF6:AF7 AH6:AH7 AJ6:AJ7 AL6:AL7 AN6:AN7 AP6:AP7 AR6:AR7 AT6:AT7 AV6:AV7 AX6:AX7 AZ6:AZ7 BB6:BB7 BD6:BD7 BF6:BF7 BH6:BH7 BJ6:BJ7 BL6:BL7 BN6:BN7 BP6:BP7 BR6:BR7 BT6:BT7 BV6:BV7 H3:H4 H6:H7 H9:H11 H13:H14 J9:J11 L9:L11 N9:N11 P9:P11 R9:R11 T9:T11 V9:V11 X9:X11 Z9:Z11 AB9:AB11 AD9:AD11 AF9:AF11 AH9:AH11 AJ9:AJ11 AL9:AL11 AN9:AN11 AP9:AP11 AR9:AR11 AT9:AT11 AV9:AV11 AX9:AX11 AZ9:AZ11 BB9:BB11 BD9:BD11 BF9:BF11 BH9:BH11 BJ9:BJ11 BL9:BL11 BN9:BN11 BP9:BP11 BR9:BR11 BT9:BT11 BV9:BV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9"/>
  <sheetViews>
    <sheetView showGridLines="0" topLeftCell="C4" zoomScale="86" workbookViewId="0"/>
  </sheetViews>
  <sheetFormatPr defaultColWidth="10.5703125" defaultRowHeight="14.25" customHeight="1" x14ac:dyDescent="0.15"/>
  <cols>
    <col min="1" max="2" width="9.140625" hidden="1" customWidth="1"/>
    <col min="3" max="3" width="3.7109375" customWidth="1"/>
    <col min="4" max="4" width="6.28515625" customWidth="1"/>
    <col min="5" max="5" width="46.7109375" customWidth="1"/>
    <col min="6" max="6" width="35.7109375" customWidth="1"/>
    <col min="7" max="7" width="3.7109375" customWidth="1"/>
    <col min="8" max="9" width="11.7109375" customWidth="1"/>
    <col min="10" max="11" width="35.7109375" customWidth="1"/>
    <col min="12" max="12" width="84.85546875" hidden="1" customWidth="1"/>
  </cols>
  <sheetData>
    <row r="1" spans="2:12" ht="14.25" hidden="1" customHeight="1" x14ac:dyDescent="0.15"/>
    <row r="2" spans="2:12" ht="14.25" hidden="1" customHeight="1" x14ac:dyDescent="0.15"/>
    <row r="3" spans="2:12" ht="14.25" hidden="1" customHeight="1" x14ac:dyDescent="0.15"/>
    <row r="4" spans="2:12" ht="6" customHeight="1" x14ac:dyDescent="0.15"/>
    <row r="5" spans="2:12" ht="26.25" customHeight="1" x14ac:dyDescent="0.2">
      <c r="D5" s="6" t="s">
        <v>1915</v>
      </c>
      <c r="E5" s="6"/>
      <c r="F5" s="6"/>
      <c r="G5" s="6"/>
      <c r="H5" s="6"/>
      <c r="I5" s="6"/>
      <c r="J5" s="6"/>
      <c r="K5" s="6"/>
    </row>
    <row r="6" spans="2:12" ht="6" customHeight="1" x14ac:dyDescent="0.15"/>
    <row r="7" spans="2:12" ht="18.75" customHeight="1" x14ac:dyDescent="0.15">
      <c r="E7" t="e">
        <f>"Дата подачи заявления об "&amp;IF(datePr_ch="","утверждении","изменении")&amp;" тарифов"</f>
        <v>#NAME?</v>
      </c>
      <c r="F7" s="6" t="e">
        <f>IF(datePr_ch="",IF(datePr="","",datePr),datePr_ch)</f>
        <v>#NAME?</v>
      </c>
      <c r="G7" s="6"/>
      <c r="H7" s="6"/>
      <c r="I7" s="6"/>
      <c r="J7" s="6"/>
      <c r="K7" s="6"/>
    </row>
    <row r="8" spans="2:12" ht="18.75" customHeight="1" x14ac:dyDescent="0.15">
      <c r="E8" t="e">
        <f>"Номер подачи заявления об "&amp;IF(numberPr_ch="","утверждении","изменении")&amp;" тарифов"</f>
        <v>#NAME?</v>
      </c>
      <c r="F8" s="6" t="e">
        <f>IF(numberPr_ch="",IF(numberPr="","",numberPr),numberPr_ch)</f>
        <v>#NAME?</v>
      </c>
      <c r="G8" s="6"/>
      <c r="H8" s="6"/>
      <c r="I8" s="6"/>
      <c r="J8" s="6"/>
      <c r="K8" s="6"/>
    </row>
    <row r="9" spans="2:12" ht="14.25" customHeight="1" x14ac:dyDescent="0.15">
      <c r="K9" t="s">
        <v>1916</v>
      </c>
    </row>
    <row r="10" spans="2:12" ht="21" customHeight="1" x14ac:dyDescent="0.15">
      <c r="D10" s="6" t="s">
        <v>593</v>
      </c>
      <c r="E10" s="6"/>
      <c r="F10" s="6"/>
      <c r="G10" s="6"/>
      <c r="H10" s="6"/>
      <c r="I10" s="6"/>
      <c r="J10" s="6"/>
      <c r="K10" s="6"/>
      <c r="L10" s="6" t="s">
        <v>594</v>
      </c>
    </row>
    <row r="11" spans="2:12" ht="21" customHeight="1" x14ac:dyDescent="0.15">
      <c r="D11" s="6" t="s">
        <v>75</v>
      </c>
      <c r="E11" s="6" t="s">
        <v>430</v>
      </c>
      <c r="F11" s="6" t="s">
        <v>431</v>
      </c>
      <c r="G11" s="6" t="s">
        <v>1917</v>
      </c>
      <c r="H11" s="6"/>
      <c r="I11" s="6"/>
      <c r="J11" s="6" t="s">
        <v>596</v>
      </c>
      <c r="K11" s="6" t="s">
        <v>685</v>
      </c>
      <c r="L11" s="6"/>
    </row>
    <row r="12" spans="2:12" ht="21" customHeight="1" x14ac:dyDescent="0.15">
      <c r="D12" s="6"/>
      <c r="E12" s="6"/>
      <c r="F12" s="6"/>
      <c r="G12" s="6" t="s">
        <v>994</v>
      </c>
      <c r="H12" s="6"/>
      <c r="I12" t="s">
        <v>1918</v>
      </c>
      <c r="J12" s="6"/>
      <c r="K12" s="6"/>
      <c r="L12" s="6"/>
    </row>
    <row r="13" spans="2:12" ht="12" customHeight="1" x14ac:dyDescent="0.15">
      <c r="D13" t="s">
        <v>165</v>
      </c>
      <c r="E13" t="s">
        <v>89</v>
      </c>
      <c r="F13" t="s">
        <v>77</v>
      </c>
      <c r="G13" s="6" t="s">
        <v>78</v>
      </c>
      <c r="H13" s="6"/>
      <c r="I13" t="s">
        <v>100</v>
      </c>
      <c r="J13" t="s">
        <v>79</v>
      </c>
      <c r="K13" t="s">
        <v>80</v>
      </c>
      <c r="L13" t="s">
        <v>102</v>
      </c>
    </row>
    <row r="14" spans="2:12" ht="14.25" customHeight="1" x14ac:dyDescent="0.15">
      <c r="D14">
        <v>1</v>
      </c>
      <c r="E14" s="6" t="s">
        <v>1919</v>
      </c>
      <c r="F14" s="6"/>
      <c r="G14" s="6"/>
      <c r="H14" s="6"/>
      <c r="I14" s="6"/>
      <c r="J14" s="6"/>
      <c r="K14" s="6"/>
    </row>
    <row r="15" spans="2:12" ht="56.25" customHeight="1" x14ac:dyDescent="0.15">
      <c r="D15" t="s">
        <v>914</v>
      </c>
      <c r="E15" t="s">
        <v>599</v>
      </c>
      <c r="F15" t="s">
        <v>599</v>
      </c>
      <c r="G15" s="6" t="s">
        <v>599</v>
      </c>
      <c r="H15" s="6"/>
      <c r="I15" t="s">
        <v>599</v>
      </c>
      <c r="L15" t="s">
        <v>1920</v>
      </c>
    </row>
    <row r="16" spans="2:12" ht="18.75" customHeight="1" x14ac:dyDescent="0.15">
      <c r="B16">
        <v>3</v>
      </c>
      <c r="D16">
        <v>2</v>
      </c>
      <c r="E16" s="6" t="s">
        <v>1921</v>
      </c>
      <c r="F16" s="6"/>
      <c r="G16" s="6"/>
      <c r="H16" s="6"/>
      <c r="I16" s="6"/>
      <c r="J16" s="6" t="s">
        <v>599</v>
      </c>
      <c r="K16" s="6"/>
    </row>
    <row r="17" spans="2:15" ht="77.25" customHeight="1" x14ac:dyDescent="0.15">
      <c r="C17" s="6"/>
      <c r="D17" s="6" t="s">
        <v>799</v>
      </c>
      <c r="E17" s="6"/>
      <c r="F17" s="6"/>
      <c r="K17" t="s">
        <v>599</v>
      </c>
      <c r="L17" s="6" t="s">
        <v>1922</v>
      </c>
    </row>
    <row r="18" spans="2:15" ht="18.75" customHeight="1" x14ac:dyDescent="0.15">
      <c r="C18" s="6"/>
      <c r="D18" s="6"/>
      <c r="E18" s="6"/>
      <c r="F18" s="6"/>
      <c r="H18" t="s">
        <v>1815</v>
      </c>
      <c r="L18" s="6"/>
    </row>
    <row r="19" spans="2:15" ht="15" customHeight="1" x14ac:dyDescent="0.15">
      <c r="E19" t="s">
        <v>1923</v>
      </c>
      <c r="L19" s="6"/>
    </row>
    <row r="20" spans="2:15" ht="18.75" customHeight="1" x14ac:dyDescent="0.15">
      <c r="B20">
        <v>3</v>
      </c>
      <c r="D20" t="s">
        <v>77</v>
      </c>
      <c r="E20" s="6" t="s">
        <v>1924</v>
      </c>
      <c r="F20" s="6"/>
      <c r="G20" s="6"/>
      <c r="H20" s="6"/>
      <c r="I20" s="6"/>
      <c r="J20" s="6"/>
      <c r="K20" s="6"/>
    </row>
    <row r="21" spans="2:15" ht="33.75" customHeight="1" x14ac:dyDescent="0.15">
      <c r="D21" t="s">
        <v>619</v>
      </c>
      <c r="E21" t="s">
        <v>599</v>
      </c>
      <c r="F21" t="s">
        <v>599</v>
      </c>
      <c r="G21" s="6" t="s">
        <v>599</v>
      </c>
      <c r="H21" s="6"/>
      <c r="I21" t="s">
        <v>599</v>
      </c>
      <c r="J21" t="s">
        <v>599</v>
      </c>
      <c r="L21" t="s">
        <v>1925</v>
      </c>
    </row>
    <row r="22" spans="2:15" ht="18.75" customHeight="1" x14ac:dyDescent="0.15">
      <c r="B22">
        <v>3</v>
      </c>
      <c r="D22" t="s">
        <v>78</v>
      </c>
      <c r="E22" s="6" t="s">
        <v>1926</v>
      </c>
      <c r="F22" s="6"/>
      <c r="G22" s="6"/>
      <c r="H22" s="6"/>
      <c r="I22" s="6"/>
      <c r="J22" s="6"/>
      <c r="K22" s="6"/>
    </row>
    <row r="23" spans="2:15" ht="54.75" customHeight="1" x14ac:dyDescent="0.15">
      <c r="C23" s="6"/>
      <c r="D23" s="6" t="s">
        <v>907</v>
      </c>
      <c r="E23" s="6"/>
      <c r="F23" s="6"/>
      <c r="K23" t="s">
        <v>599</v>
      </c>
      <c r="L23" s="6" t="s">
        <v>1927</v>
      </c>
    </row>
    <row r="24" spans="2:15" ht="18.75" customHeight="1" x14ac:dyDescent="0.15">
      <c r="C24" s="6"/>
      <c r="D24" s="6"/>
      <c r="E24" s="6"/>
      <c r="F24" s="6"/>
      <c r="H24" t="s">
        <v>1815</v>
      </c>
      <c r="L24" s="6"/>
    </row>
    <row r="25" spans="2:15" ht="15" customHeight="1" x14ac:dyDescent="0.15">
      <c r="E25" t="s">
        <v>1923</v>
      </c>
      <c r="L25" s="6"/>
    </row>
    <row r="26" spans="2:15" ht="18.75" customHeight="1" x14ac:dyDescent="0.15">
      <c r="D26" t="s">
        <v>100</v>
      </c>
      <c r="E26" s="6" t="s">
        <v>1928</v>
      </c>
      <c r="F26" s="6"/>
      <c r="G26" s="6"/>
      <c r="H26" s="6"/>
      <c r="I26" s="6"/>
      <c r="J26" s="6"/>
      <c r="K26" s="6"/>
    </row>
    <row r="27" spans="2:15" ht="66" customHeight="1" x14ac:dyDescent="0.15">
      <c r="C27" s="6"/>
      <c r="D27" s="6" t="s">
        <v>608</v>
      </c>
      <c r="E27" s="6"/>
      <c r="F27" s="6"/>
      <c r="K27" t="s">
        <v>599</v>
      </c>
      <c r="L27" s="6" t="s">
        <v>1929</v>
      </c>
    </row>
    <row r="28" spans="2:15" ht="18.75" customHeight="1" x14ac:dyDescent="0.15">
      <c r="C28" s="6"/>
      <c r="D28" s="6"/>
      <c r="E28" s="6"/>
      <c r="F28" s="6"/>
      <c r="H28" t="s">
        <v>1815</v>
      </c>
      <c r="L28" s="6"/>
    </row>
    <row r="29" spans="2:15" ht="15" customHeight="1" x14ac:dyDescent="0.15">
      <c r="E29" t="s">
        <v>1923</v>
      </c>
      <c r="L29" s="6"/>
    </row>
    <row r="30" spans="2:15" ht="26.25" customHeight="1" x14ac:dyDescent="0.15">
      <c r="D30" t="s">
        <v>79</v>
      </c>
      <c r="E30" s="6" t="s">
        <v>1930</v>
      </c>
      <c r="F30" s="6"/>
      <c r="G30" s="6"/>
      <c r="H30" s="6"/>
      <c r="I30" s="6"/>
      <c r="J30" s="6"/>
      <c r="K30" s="6"/>
    </row>
    <row r="31" spans="2:15" ht="99" customHeight="1" x14ac:dyDescent="0.15">
      <c r="C31" s="6"/>
      <c r="D31" s="6" t="s">
        <v>812</v>
      </c>
      <c r="E31" s="6"/>
      <c r="F31" s="6"/>
      <c r="K31" t="s">
        <v>599</v>
      </c>
      <c r="L31" s="6" t="s">
        <v>1931</v>
      </c>
      <c r="O31" t="s">
        <v>1843</v>
      </c>
    </row>
    <row r="32" spans="2:15" ht="18.75" customHeight="1" x14ac:dyDescent="0.15">
      <c r="C32" s="6"/>
      <c r="D32" s="6"/>
      <c r="E32" s="6"/>
      <c r="F32" s="6"/>
      <c r="H32" t="s">
        <v>1815</v>
      </c>
      <c r="L32" s="6"/>
    </row>
    <row r="33" spans="2:12" ht="15" customHeight="1" x14ac:dyDescent="0.15">
      <c r="E33" t="s">
        <v>1923</v>
      </c>
      <c r="L33" s="6"/>
    </row>
    <row r="34" spans="2:12" ht="25.5" customHeight="1" x14ac:dyDescent="0.15">
      <c r="B34">
        <v>3</v>
      </c>
      <c r="D34" t="s">
        <v>80</v>
      </c>
      <c r="E34" s="6" t="s">
        <v>1932</v>
      </c>
      <c r="F34" s="6"/>
      <c r="G34" s="6"/>
      <c r="H34" s="6"/>
      <c r="I34" s="6"/>
      <c r="J34" s="6"/>
      <c r="K34" s="6"/>
    </row>
    <row r="35" spans="2:12" ht="99" customHeight="1" x14ac:dyDescent="0.15">
      <c r="C35" s="6"/>
      <c r="D35" s="6" t="s">
        <v>1933</v>
      </c>
      <c r="E35" s="6"/>
      <c r="F35" s="6"/>
      <c r="K35" t="s">
        <v>599</v>
      </c>
      <c r="L35" s="6" t="s">
        <v>1934</v>
      </c>
    </row>
    <row r="36" spans="2:12" ht="18.75" customHeight="1" x14ac:dyDescent="0.15">
      <c r="C36" s="6"/>
      <c r="D36" s="6"/>
      <c r="E36" s="6"/>
      <c r="F36" s="6"/>
      <c r="H36" t="s">
        <v>1815</v>
      </c>
      <c r="L36" s="6"/>
    </row>
    <row r="37" spans="2:12" ht="15" customHeight="1" x14ac:dyDescent="0.15">
      <c r="E37" t="s">
        <v>1923</v>
      </c>
      <c r="L37" s="6"/>
    </row>
    <row r="38" spans="2:12" ht="3" customHeight="1" x14ac:dyDescent="0.15"/>
    <row r="39" spans="2:12" ht="24.75" customHeight="1" x14ac:dyDescent="0.15">
      <c r="D39">
        <v>1</v>
      </c>
      <c r="E39" s="6" t="s">
        <v>1935</v>
      </c>
      <c r="F39" s="6"/>
      <c r="G39" s="6"/>
      <c r="H39" s="6"/>
      <c r="I39" s="6"/>
      <c r="J39" s="6"/>
      <c r="K39" s="6"/>
      <c r="L39" s="6"/>
    </row>
  </sheetData>
  <sheetProtection formatColumns="0" formatRows="0" insertRows="0" deleteColumns="0" deleteRows="0" sort="0" autoFilter="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1936</v>
      </c>
      <c r="V4" s="6"/>
      <c r="W4" s="6"/>
      <c r="X4" s="6"/>
      <c r="Y4" s="6"/>
      <c r="Z4" s="6"/>
      <c r="AA4" s="6"/>
      <c r="AB4" s="6"/>
      <c r="AC4" s="6" t="e">
        <f>INDEX(PT_DIFFERENTIATION_CS,MATCH(C4,PT_DIFFERENTIATION_CS_ID,0))</f>
        <v>#N/A</v>
      </c>
      <c r="AD4" s="6"/>
      <c r="AE4" s="6"/>
      <c r="AF4" s="6"/>
      <c r="AG4" s="6"/>
      <c r="AH4" s="6"/>
      <c r="AI4" s="6"/>
      <c r="AJ4" s="6"/>
      <c r="AK4" t="s">
        <v>1937</v>
      </c>
      <c r="AN4" t="str">
        <f t="shared" si="0"/>
        <v>Наименование централизованной системы холодного водоснабжения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2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1944</v>
      </c>
      <c r="W38" s="6" t="s">
        <v>1756</v>
      </c>
      <c r="X38" s="6"/>
      <c r="Y38" s="6" t="s">
        <v>1757</v>
      </c>
      <c r="Z38" s="6"/>
      <c r="AA38" s="6"/>
      <c r="AB38" s="6"/>
      <c r="AC38" t="s">
        <v>1944</v>
      </c>
      <c r="AD38" s="6" t="s">
        <v>1756</v>
      </c>
      <c r="AE38" s="6"/>
      <c r="AF38" s="6" t="s">
        <v>1757</v>
      </c>
      <c r="AG38" s="6"/>
      <c r="AH38" s="6"/>
      <c r="AI38" s="6"/>
      <c r="AJ38" s="6"/>
      <c r="AK38" s="6"/>
    </row>
    <row r="39" spans="1:40" ht="33.75" customHeight="1" x14ac:dyDescent="0.15">
      <c r="B39" t="s">
        <v>443</v>
      </c>
      <c r="C39" t="s">
        <v>444</v>
      </c>
      <c r="D39" t="s">
        <v>445</v>
      </c>
      <c r="E39" t="s">
        <v>1758</v>
      </c>
      <c r="F39" t="s">
        <v>1759</v>
      </c>
      <c r="G39" t="s">
        <v>1760</v>
      </c>
      <c r="I39" t="s">
        <v>1945</v>
      </c>
      <c r="J39" t="s">
        <v>1763</v>
      </c>
      <c r="K39" t="s">
        <v>1946</v>
      </c>
      <c r="L39" t="s">
        <v>1739</v>
      </c>
      <c r="S39" s="6"/>
      <c r="T39" s="6"/>
      <c r="V39" t="s">
        <v>1947</v>
      </c>
      <c r="W39" t="s">
        <v>1948</v>
      </c>
      <c r="X39" t="s">
        <v>1949</v>
      </c>
      <c r="Y39" t="s">
        <v>1767</v>
      </c>
      <c r="Z39" s="6" t="s">
        <v>1768</v>
      </c>
      <c r="AA39" s="6"/>
      <c r="AB39" s="6"/>
      <c r="AC39" t="s">
        <v>1947</v>
      </c>
      <c r="AD39" t="s">
        <v>1948</v>
      </c>
      <c r="AE39" t="s">
        <v>1949</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519</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519</v>
      </c>
      <c r="B42" t="s">
        <v>520</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519</v>
      </c>
      <c r="B43" t="s">
        <v>520</v>
      </c>
      <c r="C43" t="s">
        <v>521</v>
      </c>
      <c r="E43" s="6"/>
      <c r="F43" s="6"/>
      <c r="G43" s="6">
        <v>1</v>
      </c>
      <c r="S43" t="str">
        <f>INDEX(PT_DIFFERENTIATION_NUM_CS,MATCH(C43,PT_DIFFERENTIATION_CS_ID,0))</f>
        <v>..</v>
      </c>
      <c r="T43" t="s">
        <v>1936</v>
      </c>
      <c r="V43" s="6"/>
      <c r="W43" s="6"/>
      <c r="X43" s="6"/>
      <c r="Y43" s="6"/>
      <c r="Z43" s="6"/>
      <c r="AA43" s="6"/>
      <c r="AB43" s="6"/>
      <c r="AC43" s="6" t="str">
        <f>INDEX(PT_DIFFERENTIATION_CS,MATCH(C43,PT_DIFFERENTIATION_CS_ID,0))</f>
        <v/>
      </c>
      <c r="AD43" s="6"/>
      <c r="AE43" s="6"/>
      <c r="AF43" s="6"/>
      <c r="AG43" s="6"/>
      <c r="AH43" s="6"/>
      <c r="AI43" s="6"/>
      <c r="AJ43" s="6"/>
      <c r="AK43" t="s">
        <v>1937</v>
      </c>
      <c r="AN43" t="str">
        <f t="shared" si="1"/>
        <v>Наименование централизованной системы холодного водоснабжения</v>
      </c>
    </row>
    <row r="44" spans="1:40" ht="23.25" customHeight="1" x14ac:dyDescent="0.15">
      <c r="A44" t="s">
        <v>519</v>
      </c>
      <c r="B44" t="s">
        <v>520</v>
      </c>
      <c r="C44" t="s">
        <v>521</v>
      </c>
      <c r="D44" t="s">
        <v>1950</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519</v>
      </c>
      <c r="B45" t="s">
        <v>520</v>
      </c>
      <c r="C45" t="s">
        <v>521</v>
      </c>
      <c r="D45" t="s">
        <v>1950</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519</v>
      </c>
      <c r="B46" t="s">
        <v>520</v>
      </c>
      <c r="C46" t="s">
        <v>521</v>
      </c>
      <c r="D46" t="s">
        <v>1950</v>
      </c>
      <c r="E46" s="6"/>
      <c r="F46" s="6"/>
      <c r="G46" s="6"/>
      <c r="H46" s="6"/>
      <c r="I46" s="6"/>
      <c r="J46" s="6"/>
      <c r="K46" s="6" t="str">
        <f>J45&amp;".1"</f>
        <v>...1.1.1</v>
      </c>
      <c r="P46" s="6"/>
      <c r="Q46" s="6"/>
      <c r="R46">
        <v>1</v>
      </c>
      <c r="S46" t="str">
        <f>$K46</f>
        <v>...1.1.1</v>
      </c>
      <c r="Y46" s="6"/>
      <c r="Z46" s="6" t="s">
        <v>50</v>
      </c>
      <c r="AA46" s="6"/>
      <c r="AB46" s="6" t="s">
        <v>50</v>
      </c>
      <c r="AF46" s="6"/>
      <c r="AG46" s="6" t="s">
        <v>50</v>
      </c>
      <c r="AH46" s="6"/>
      <c r="AI46" s="6" t="s">
        <v>43</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519</v>
      </c>
      <c r="B47" t="s">
        <v>520</v>
      </c>
      <c r="C47" t="s">
        <v>521</v>
      </c>
      <c r="D47" t="s">
        <v>1950</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519</v>
      </c>
      <c r="B48" t="s">
        <v>520</v>
      </c>
      <c r="C48" t="s">
        <v>521</v>
      </c>
      <c r="D48" t="s">
        <v>1950</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519</v>
      </c>
      <c r="B49" t="s">
        <v>520</v>
      </c>
      <c r="C49" t="s">
        <v>521</v>
      </c>
      <c r="D49" t="s">
        <v>1950</v>
      </c>
      <c r="E49" s="6"/>
      <c r="F49" s="6"/>
      <c r="G49" s="6"/>
      <c r="H49" s="6"/>
      <c r="I49" s="6"/>
      <c r="P49" s="6"/>
      <c r="T49" t="s">
        <v>1736</v>
      </c>
      <c r="AN49" t="str">
        <f t="shared" si="1"/>
        <v>Добавить группу потребителей</v>
      </c>
    </row>
    <row r="50" spans="1:40" ht="21" customHeight="1" x14ac:dyDescent="0.15">
      <c r="A50" t="s">
        <v>519</v>
      </c>
      <c r="B50" t="s">
        <v>520</v>
      </c>
      <c r="C50" t="s">
        <v>521</v>
      </c>
      <c r="D50" t="s">
        <v>1950</v>
      </c>
      <c r="E50" s="6"/>
      <c r="F50" s="6"/>
      <c r="G50" s="6"/>
      <c r="H50" s="6"/>
      <c r="T50" t="s">
        <v>1943</v>
      </c>
      <c r="AN50" t="str">
        <f t="shared" si="1"/>
        <v>Добавить наименование признака дифференциации</v>
      </c>
    </row>
    <row r="51" spans="1:40" ht="0.75" customHeight="1" x14ac:dyDescent="0.15">
      <c r="A51" t="s">
        <v>519</v>
      </c>
      <c r="B51" t="s">
        <v>520</v>
      </c>
      <c r="E51" s="6"/>
      <c r="F51" s="6"/>
      <c r="T51" t="s">
        <v>1697</v>
      </c>
      <c r="AN51" t="str">
        <f t="shared" si="1"/>
        <v>Добавить централизованную систему для дифференциации</v>
      </c>
    </row>
    <row r="52" spans="1:40" ht="0.75" customHeight="1" x14ac:dyDescent="0.15">
      <c r="A52" t="s">
        <v>519</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hidden="1" customHeight="1" x14ac:dyDescent="0.15"/>
    <row r="55" spans="1:40" ht="14.25" hidden="1" customHeight="1" x14ac:dyDescent="0.15">
      <c r="S55" t="s">
        <v>1769</v>
      </c>
      <c r="T55" s="6" t="s">
        <v>1951</v>
      </c>
      <c r="U55" s="6"/>
      <c r="V55" s="6"/>
      <c r="W55" s="6"/>
      <c r="X55" s="6"/>
      <c r="Y55" s="6"/>
      <c r="Z55" s="6"/>
      <c r="AA55" s="6"/>
      <c r="AB55" s="6"/>
      <c r="AC55" s="6"/>
      <c r="AD55" s="6"/>
      <c r="AE55" s="6"/>
      <c r="AF55" s="6"/>
      <c r="AG55" s="6"/>
      <c r="AH55" s="6"/>
      <c r="AI55" s="6"/>
      <c r="AJ55" s="6"/>
      <c r="AK55" s="6"/>
    </row>
    <row r="56" spans="1:40" ht="14.25" hidden="1" customHeight="1" x14ac:dyDescent="0.15"/>
    <row r="57" spans="1:40" ht="14.25" hidden="1" customHeight="1" x14ac:dyDescent="0.15">
      <c r="S57" t="s">
        <v>1769</v>
      </c>
      <c r="T57" s="6" t="s">
        <v>1952</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1936</v>
      </c>
      <c r="V4" s="6"/>
      <c r="W4" s="6"/>
      <c r="X4" s="6"/>
      <c r="Y4" s="6"/>
      <c r="Z4" s="6"/>
      <c r="AA4" s="6"/>
      <c r="AB4" s="6"/>
      <c r="AC4" s="6" t="e">
        <f>INDEX(PT_DIFFERENTIATION_CS,MATCH(C4,PT_DIFFERENTIATION_CS_ID,0))</f>
        <v>#N/A</v>
      </c>
      <c r="AD4" s="6"/>
      <c r="AE4" s="6"/>
      <c r="AF4" s="6"/>
      <c r="AG4" s="6"/>
      <c r="AH4" s="6"/>
      <c r="AI4" s="6"/>
      <c r="AJ4" s="6"/>
      <c r="AK4" t="s">
        <v>1937</v>
      </c>
      <c r="AN4" t="str">
        <f t="shared" si="0"/>
        <v>Наименование централизованной системы холодного водоснабжения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2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1944</v>
      </c>
      <c r="W38" s="6" t="s">
        <v>1756</v>
      </c>
      <c r="X38" s="6"/>
      <c r="Y38" s="6" t="s">
        <v>1757</v>
      </c>
      <c r="Z38" s="6"/>
      <c r="AA38" s="6"/>
      <c r="AB38" s="6"/>
      <c r="AC38" t="s">
        <v>1944</v>
      </c>
      <c r="AD38" s="6" t="s">
        <v>1756</v>
      </c>
      <c r="AE38" s="6"/>
      <c r="AF38" s="6" t="s">
        <v>1757</v>
      </c>
      <c r="AG38" s="6"/>
      <c r="AH38" s="6"/>
      <c r="AI38" s="6"/>
      <c r="AJ38" s="6"/>
      <c r="AK38" s="6"/>
    </row>
    <row r="39" spans="1:40" ht="33.75" customHeight="1" x14ac:dyDescent="0.15">
      <c r="B39" t="s">
        <v>443</v>
      </c>
      <c r="C39" t="s">
        <v>444</v>
      </c>
      <c r="D39" t="s">
        <v>445</v>
      </c>
      <c r="E39" t="s">
        <v>1758</v>
      </c>
      <c r="F39" t="s">
        <v>1759</v>
      </c>
      <c r="G39" t="s">
        <v>1760</v>
      </c>
      <c r="I39" t="s">
        <v>1945</v>
      </c>
      <c r="J39" t="s">
        <v>1763</v>
      </c>
      <c r="K39" t="s">
        <v>1946</v>
      </c>
      <c r="L39" t="s">
        <v>1739</v>
      </c>
      <c r="S39" s="6"/>
      <c r="T39" s="6"/>
      <c r="V39" t="s">
        <v>1947</v>
      </c>
      <c r="W39" t="s">
        <v>1948</v>
      </c>
      <c r="X39" t="s">
        <v>1949</v>
      </c>
      <c r="Y39" t="s">
        <v>1767</v>
      </c>
      <c r="Z39" s="6" t="s">
        <v>1768</v>
      </c>
      <c r="AA39" s="6"/>
      <c r="AB39" s="6"/>
      <c r="AC39" t="s">
        <v>1947</v>
      </c>
      <c r="AD39" t="s">
        <v>1948</v>
      </c>
      <c r="AE39" t="s">
        <v>1949</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524</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524</v>
      </c>
      <c r="B42" t="s">
        <v>525</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524</v>
      </c>
      <c r="B43" t="s">
        <v>525</v>
      </c>
      <c r="C43" t="s">
        <v>526</v>
      </c>
      <c r="E43" s="6"/>
      <c r="F43" s="6"/>
      <c r="G43" s="6">
        <v>1</v>
      </c>
      <c r="S43" t="str">
        <f>INDEX(PT_DIFFERENTIATION_NUM_CS,MATCH(C43,PT_DIFFERENTIATION_CS_ID,0))</f>
        <v>..</v>
      </c>
      <c r="T43" t="s">
        <v>1936</v>
      </c>
      <c r="V43" s="6"/>
      <c r="W43" s="6"/>
      <c r="X43" s="6"/>
      <c r="Y43" s="6"/>
      <c r="Z43" s="6"/>
      <c r="AA43" s="6"/>
      <c r="AB43" s="6"/>
      <c r="AC43" s="6" t="str">
        <f>INDEX(PT_DIFFERENTIATION_CS,MATCH(C43,PT_DIFFERENTIATION_CS_ID,0))</f>
        <v/>
      </c>
      <c r="AD43" s="6"/>
      <c r="AE43" s="6"/>
      <c r="AF43" s="6"/>
      <c r="AG43" s="6"/>
      <c r="AH43" s="6"/>
      <c r="AI43" s="6"/>
      <c r="AJ43" s="6"/>
      <c r="AK43" t="s">
        <v>1937</v>
      </c>
      <c r="AN43" t="str">
        <f t="shared" si="1"/>
        <v>Наименование централизованной системы холодного водоснабжения</v>
      </c>
    </row>
    <row r="44" spans="1:40" ht="23.25" customHeight="1" x14ac:dyDescent="0.15">
      <c r="A44" t="s">
        <v>524</v>
      </c>
      <c r="B44" t="s">
        <v>525</v>
      </c>
      <c r="C44" t="s">
        <v>526</v>
      </c>
      <c r="D44" t="s">
        <v>1953</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524</v>
      </c>
      <c r="B45" t="s">
        <v>525</v>
      </c>
      <c r="C45" t="s">
        <v>526</v>
      </c>
      <c r="D45" t="s">
        <v>1953</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524</v>
      </c>
      <c r="B46" t="s">
        <v>525</v>
      </c>
      <c r="C46" t="s">
        <v>526</v>
      </c>
      <c r="D46" t="s">
        <v>1953</v>
      </c>
      <c r="E46" s="6"/>
      <c r="F46" s="6"/>
      <c r="G46" s="6"/>
      <c r="H46" s="6"/>
      <c r="I46" s="6"/>
      <c r="J46" s="6"/>
      <c r="K46" s="6" t="str">
        <f>J45&amp;".1"</f>
        <v>...1.1.1</v>
      </c>
      <c r="P46" s="6"/>
      <c r="Q46" s="6"/>
      <c r="R46">
        <v>1</v>
      </c>
      <c r="S46" t="str">
        <f>$K46</f>
        <v>...1.1.1</v>
      </c>
      <c r="Y46" s="6"/>
      <c r="Z46" s="6" t="s">
        <v>50</v>
      </c>
      <c r="AA46" s="6"/>
      <c r="AB46" s="6" t="s">
        <v>50</v>
      </c>
      <c r="AF46" s="6"/>
      <c r="AG46" s="6" t="s">
        <v>50</v>
      </c>
      <c r="AH46" s="6"/>
      <c r="AI46" s="6" t="s">
        <v>50</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524</v>
      </c>
      <c r="B47" t="s">
        <v>525</v>
      </c>
      <c r="C47" t="s">
        <v>526</v>
      </c>
      <c r="D47" t="s">
        <v>1953</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524</v>
      </c>
      <c r="B48" t="s">
        <v>525</v>
      </c>
      <c r="C48" t="s">
        <v>526</v>
      </c>
      <c r="D48" t="s">
        <v>1953</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524</v>
      </c>
      <c r="B49" t="s">
        <v>525</v>
      </c>
      <c r="C49" t="s">
        <v>526</v>
      </c>
      <c r="D49" t="s">
        <v>1953</v>
      </c>
      <c r="E49" s="6"/>
      <c r="F49" s="6"/>
      <c r="G49" s="6"/>
      <c r="H49" s="6"/>
      <c r="I49" s="6"/>
      <c r="P49" s="6"/>
      <c r="T49" t="s">
        <v>1736</v>
      </c>
      <c r="AN49" t="str">
        <f t="shared" si="1"/>
        <v>Добавить группу потребителей</v>
      </c>
    </row>
    <row r="50" spans="1:40" ht="21" customHeight="1" x14ac:dyDescent="0.15">
      <c r="A50" t="s">
        <v>524</v>
      </c>
      <c r="B50" t="s">
        <v>525</v>
      </c>
      <c r="C50" t="s">
        <v>526</v>
      </c>
      <c r="D50" t="s">
        <v>1953</v>
      </c>
      <c r="E50" s="6"/>
      <c r="F50" s="6"/>
      <c r="G50" s="6"/>
      <c r="H50" s="6"/>
      <c r="T50" t="s">
        <v>1943</v>
      </c>
      <c r="AN50" t="str">
        <f t="shared" si="1"/>
        <v>Добавить наименование признака дифференциации</v>
      </c>
    </row>
    <row r="51" spans="1:40" ht="0.75" customHeight="1" x14ac:dyDescent="0.15">
      <c r="A51" t="s">
        <v>524</v>
      </c>
      <c r="B51" t="s">
        <v>525</v>
      </c>
      <c r="E51" s="6"/>
      <c r="F51" s="6"/>
      <c r="T51" t="s">
        <v>1697</v>
      </c>
      <c r="AN51" t="str">
        <f t="shared" si="1"/>
        <v>Добавить централизованную систему для дифференциации</v>
      </c>
    </row>
    <row r="52" spans="1:40" ht="0.75" customHeight="1" x14ac:dyDescent="0.15">
      <c r="A52" t="s">
        <v>524</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hidden="1" customHeight="1" x14ac:dyDescent="0.15"/>
    <row r="55" spans="1:40" ht="14.25" hidden="1" customHeight="1" x14ac:dyDescent="0.15">
      <c r="S55" t="s">
        <v>1769</v>
      </c>
      <c r="T55" s="6" t="s">
        <v>1951</v>
      </c>
      <c r="U55" s="6"/>
      <c r="V55" s="6"/>
      <c r="W55" s="6"/>
      <c r="X55" s="6"/>
      <c r="Y55" s="6"/>
      <c r="Z55" s="6"/>
      <c r="AA55" s="6"/>
      <c r="AB55" s="6"/>
      <c r="AC55" s="6"/>
      <c r="AD55" s="6"/>
      <c r="AE55" s="6"/>
      <c r="AF55" s="6"/>
      <c r="AG55" s="6"/>
      <c r="AH55" s="6"/>
      <c r="AI55" s="6"/>
      <c r="AJ55" s="6"/>
      <c r="AK55" s="6"/>
    </row>
    <row r="56" spans="1:40" ht="14.25" hidden="1" customHeight="1" x14ac:dyDescent="0.15"/>
    <row r="57" spans="1:40" ht="14.25" hidden="1" customHeight="1" x14ac:dyDescent="0.15">
      <c r="S57" t="s">
        <v>1769</v>
      </c>
      <c r="T57" s="6" t="s">
        <v>1952</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1936</v>
      </c>
      <c r="V4" s="6"/>
      <c r="W4" s="6"/>
      <c r="X4" s="6"/>
      <c r="Y4" s="6"/>
      <c r="Z4" s="6"/>
      <c r="AA4" s="6"/>
      <c r="AB4" s="6"/>
      <c r="AC4" s="6" t="e">
        <f>INDEX(PT_DIFFERENTIATION_CS,MATCH(C4,PT_DIFFERENTIATION_CS_ID,0))</f>
        <v>#N/A</v>
      </c>
      <c r="AD4" s="6"/>
      <c r="AE4" s="6"/>
      <c r="AF4" s="6"/>
      <c r="AG4" s="6"/>
      <c r="AH4" s="6"/>
      <c r="AI4" s="6"/>
      <c r="AJ4" s="6"/>
      <c r="AK4" t="s">
        <v>1937</v>
      </c>
      <c r="AN4" t="str">
        <f t="shared" si="0"/>
        <v>Наименование централизованной системы холодного водоснабжения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2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1944</v>
      </c>
      <c r="W38" s="6" t="s">
        <v>1756</v>
      </c>
      <c r="X38" s="6"/>
      <c r="Y38" s="6" t="s">
        <v>1757</v>
      </c>
      <c r="Z38" s="6"/>
      <c r="AA38" s="6"/>
      <c r="AB38" s="6"/>
      <c r="AC38" t="s">
        <v>1944</v>
      </c>
      <c r="AD38" s="6" t="s">
        <v>1756</v>
      </c>
      <c r="AE38" s="6"/>
      <c r="AF38" s="6" t="s">
        <v>1757</v>
      </c>
      <c r="AG38" s="6"/>
      <c r="AH38" s="6"/>
      <c r="AI38" s="6"/>
      <c r="AJ38" s="6"/>
      <c r="AK38" s="6"/>
    </row>
    <row r="39" spans="1:40" ht="33.75" customHeight="1" x14ac:dyDescent="0.15">
      <c r="B39" t="s">
        <v>443</v>
      </c>
      <c r="C39" t="s">
        <v>444</v>
      </c>
      <c r="D39" t="s">
        <v>445</v>
      </c>
      <c r="E39" t="s">
        <v>1758</v>
      </c>
      <c r="F39" t="s">
        <v>1759</v>
      </c>
      <c r="G39" t="s">
        <v>1760</v>
      </c>
      <c r="I39" t="s">
        <v>1945</v>
      </c>
      <c r="J39" t="s">
        <v>1763</v>
      </c>
      <c r="K39" t="s">
        <v>1946</v>
      </c>
      <c r="L39" t="s">
        <v>1739</v>
      </c>
      <c r="S39" s="6"/>
      <c r="T39" s="6"/>
      <c r="V39" t="s">
        <v>1947</v>
      </c>
      <c r="W39" t="s">
        <v>1948</v>
      </c>
      <c r="X39" t="s">
        <v>1949</v>
      </c>
      <c r="Y39" t="s">
        <v>1767</v>
      </c>
      <c r="Z39" s="6" t="s">
        <v>1768</v>
      </c>
      <c r="AA39" s="6"/>
      <c r="AB39" s="6"/>
      <c r="AC39" t="s">
        <v>1947</v>
      </c>
      <c r="AD39" t="s">
        <v>1948</v>
      </c>
      <c r="AE39" t="s">
        <v>1949</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529</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529</v>
      </c>
      <c r="B42" t="s">
        <v>530</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529</v>
      </c>
      <c r="B43" t="s">
        <v>530</v>
      </c>
      <c r="C43" t="s">
        <v>531</v>
      </c>
      <c r="E43" s="6"/>
      <c r="F43" s="6"/>
      <c r="G43" s="6">
        <v>1</v>
      </c>
      <c r="S43" t="str">
        <f>INDEX(PT_DIFFERENTIATION_NUM_CS,MATCH(C43,PT_DIFFERENTIATION_CS_ID,0))</f>
        <v>..</v>
      </c>
      <c r="T43" t="s">
        <v>1936</v>
      </c>
      <c r="V43" s="6"/>
      <c r="W43" s="6"/>
      <c r="X43" s="6"/>
      <c r="Y43" s="6"/>
      <c r="Z43" s="6"/>
      <c r="AA43" s="6"/>
      <c r="AB43" s="6"/>
      <c r="AC43" s="6" t="str">
        <f>INDEX(PT_DIFFERENTIATION_CS,MATCH(C43,PT_DIFFERENTIATION_CS_ID,0))</f>
        <v/>
      </c>
      <c r="AD43" s="6"/>
      <c r="AE43" s="6"/>
      <c r="AF43" s="6"/>
      <c r="AG43" s="6"/>
      <c r="AH43" s="6"/>
      <c r="AI43" s="6"/>
      <c r="AJ43" s="6"/>
      <c r="AK43" t="s">
        <v>1937</v>
      </c>
      <c r="AN43" t="str">
        <f t="shared" si="1"/>
        <v>Наименование централизованной системы холодного водоснабжения</v>
      </c>
    </row>
    <row r="44" spans="1:40" ht="23.25" customHeight="1" x14ac:dyDescent="0.15">
      <c r="A44" t="s">
        <v>529</v>
      </c>
      <c r="B44" t="s">
        <v>530</v>
      </c>
      <c r="C44" t="s">
        <v>531</v>
      </c>
      <c r="D44" t="s">
        <v>1954</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529</v>
      </c>
      <c r="B45" t="s">
        <v>530</v>
      </c>
      <c r="C45" t="s">
        <v>531</v>
      </c>
      <c r="D45" t="s">
        <v>1954</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529</v>
      </c>
      <c r="B46" t="s">
        <v>530</v>
      </c>
      <c r="C46" t="s">
        <v>531</v>
      </c>
      <c r="D46" t="s">
        <v>1954</v>
      </c>
      <c r="E46" s="6"/>
      <c r="F46" s="6"/>
      <c r="G46" s="6"/>
      <c r="H46" s="6"/>
      <c r="I46" s="6"/>
      <c r="J46" s="6"/>
      <c r="K46" s="6" t="str">
        <f>J45&amp;".1"</f>
        <v>...1.1.1</v>
      </c>
      <c r="P46" s="6"/>
      <c r="Q46" s="6"/>
      <c r="R46">
        <v>1</v>
      </c>
      <c r="S46" t="str">
        <f>$K46</f>
        <v>...1.1.1</v>
      </c>
      <c r="Y46" s="6"/>
      <c r="Z46" s="6" t="s">
        <v>50</v>
      </c>
      <c r="AA46" s="6"/>
      <c r="AB46" s="6" t="s">
        <v>50</v>
      </c>
      <c r="AF46" s="6"/>
      <c r="AG46" s="6" t="s">
        <v>50</v>
      </c>
      <c r="AH46" s="6"/>
      <c r="AI46" s="6" t="s">
        <v>50</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529</v>
      </c>
      <c r="B47" t="s">
        <v>530</v>
      </c>
      <c r="C47" t="s">
        <v>531</v>
      </c>
      <c r="D47" t="s">
        <v>1954</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529</v>
      </c>
      <c r="B48" t="s">
        <v>530</v>
      </c>
      <c r="C48" t="s">
        <v>531</v>
      </c>
      <c r="D48" t="s">
        <v>1954</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529</v>
      </c>
      <c r="B49" t="s">
        <v>530</v>
      </c>
      <c r="C49" t="s">
        <v>531</v>
      </c>
      <c r="D49" t="s">
        <v>1954</v>
      </c>
      <c r="E49" s="6"/>
      <c r="F49" s="6"/>
      <c r="G49" s="6"/>
      <c r="H49" s="6"/>
      <c r="I49" s="6"/>
      <c r="P49" s="6"/>
      <c r="T49" t="s">
        <v>1736</v>
      </c>
      <c r="AN49" t="str">
        <f t="shared" si="1"/>
        <v>Добавить группу потребителей</v>
      </c>
    </row>
    <row r="50" spans="1:40" ht="21" customHeight="1" x14ac:dyDescent="0.15">
      <c r="A50" t="s">
        <v>529</v>
      </c>
      <c r="B50" t="s">
        <v>530</v>
      </c>
      <c r="C50" t="s">
        <v>531</v>
      </c>
      <c r="D50" t="s">
        <v>1954</v>
      </c>
      <c r="E50" s="6"/>
      <c r="F50" s="6"/>
      <c r="G50" s="6"/>
      <c r="H50" s="6"/>
      <c r="T50" t="s">
        <v>1943</v>
      </c>
      <c r="AN50" t="str">
        <f t="shared" si="1"/>
        <v>Добавить наименование признака дифференциации</v>
      </c>
    </row>
    <row r="51" spans="1:40" ht="0.75" customHeight="1" x14ac:dyDescent="0.15">
      <c r="A51" t="s">
        <v>529</v>
      </c>
      <c r="B51" t="s">
        <v>530</v>
      </c>
      <c r="E51" s="6"/>
      <c r="F51" s="6"/>
      <c r="T51" t="s">
        <v>1697</v>
      </c>
      <c r="AN51" t="str">
        <f t="shared" si="1"/>
        <v>Добавить централизованную систему для дифференциации</v>
      </c>
    </row>
    <row r="52" spans="1:40" ht="0.75" customHeight="1" x14ac:dyDescent="0.15">
      <c r="A52" t="s">
        <v>529</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hidden="1" customHeight="1" x14ac:dyDescent="0.15"/>
    <row r="55" spans="1:40" ht="14.25" hidden="1" customHeight="1" x14ac:dyDescent="0.15">
      <c r="S55" t="s">
        <v>1769</v>
      </c>
      <c r="T55" s="6" t="s">
        <v>1951</v>
      </c>
      <c r="U55" s="6"/>
      <c r="V55" s="6"/>
      <c r="W55" s="6"/>
      <c r="X55" s="6"/>
      <c r="Y55" s="6"/>
      <c r="Z55" s="6"/>
      <c r="AA55" s="6"/>
      <c r="AB55" s="6"/>
      <c r="AC55" s="6"/>
      <c r="AD55" s="6"/>
      <c r="AE55" s="6"/>
      <c r="AF55" s="6"/>
      <c r="AG55" s="6"/>
      <c r="AH55" s="6"/>
      <c r="AI55" s="6"/>
      <c r="AJ55" s="6"/>
      <c r="AK55" s="6"/>
    </row>
    <row r="56" spans="1:40" ht="14.25" hidden="1" customHeight="1" x14ac:dyDescent="0.15"/>
    <row r="57" spans="1:40" ht="14.25" hidden="1" customHeight="1" x14ac:dyDescent="0.15">
      <c r="S57" t="s">
        <v>1769</v>
      </c>
      <c r="T57" s="6" t="s">
        <v>1952</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zoomScale="90"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1936</v>
      </c>
      <c r="V4" s="6"/>
      <c r="W4" s="6"/>
      <c r="X4" s="6"/>
      <c r="Y4" s="6"/>
      <c r="Z4" s="6"/>
      <c r="AA4" s="6"/>
      <c r="AB4" s="6"/>
      <c r="AC4" s="6" t="e">
        <f>INDEX(PT_DIFFERENTIATION_CS,MATCH(C4,PT_DIFFERENTIATION_CS_ID,0))</f>
        <v>#N/A</v>
      </c>
      <c r="AD4" s="6"/>
      <c r="AE4" s="6"/>
      <c r="AF4" s="6"/>
      <c r="AG4" s="6"/>
      <c r="AH4" s="6"/>
      <c r="AI4" s="6"/>
      <c r="AJ4" s="6"/>
      <c r="AK4" t="s">
        <v>1937</v>
      </c>
      <c r="AN4" t="str">
        <f t="shared" si="0"/>
        <v>Наименование централизованной системы холодного водоснабжения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2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1944</v>
      </c>
      <c r="W38" s="6" t="s">
        <v>1756</v>
      </c>
      <c r="X38" s="6"/>
      <c r="Y38" s="6" t="s">
        <v>1757</v>
      </c>
      <c r="Z38" s="6"/>
      <c r="AA38" s="6"/>
      <c r="AB38" s="6"/>
      <c r="AC38" t="s">
        <v>1944</v>
      </c>
      <c r="AD38" s="6" t="s">
        <v>1756</v>
      </c>
      <c r="AE38" s="6"/>
      <c r="AF38" s="6" t="s">
        <v>1757</v>
      </c>
      <c r="AG38" s="6"/>
      <c r="AH38" s="6"/>
      <c r="AI38" s="6"/>
      <c r="AJ38" s="6"/>
      <c r="AK38" s="6"/>
    </row>
    <row r="39" spans="1:40" ht="33.75" customHeight="1" x14ac:dyDescent="0.15">
      <c r="B39" t="s">
        <v>443</v>
      </c>
      <c r="C39" t="s">
        <v>444</v>
      </c>
      <c r="D39" t="s">
        <v>445</v>
      </c>
      <c r="E39" t="s">
        <v>1758</v>
      </c>
      <c r="F39" t="s">
        <v>1759</v>
      </c>
      <c r="G39" t="s">
        <v>1760</v>
      </c>
      <c r="I39" t="s">
        <v>1945</v>
      </c>
      <c r="J39" t="s">
        <v>1763</v>
      </c>
      <c r="K39" t="s">
        <v>1946</v>
      </c>
      <c r="L39" t="s">
        <v>1739</v>
      </c>
      <c r="S39" s="6"/>
      <c r="T39" s="6"/>
      <c r="V39" t="s">
        <v>1947</v>
      </c>
      <c r="W39" t="s">
        <v>1948</v>
      </c>
      <c r="X39" t="s">
        <v>1949</v>
      </c>
      <c r="Y39" t="s">
        <v>1767</v>
      </c>
      <c r="Z39" s="6" t="s">
        <v>1768</v>
      </c>
      <c r="AA39" s="6"/>
      <c r="AB39" s="6"/>
      <c r="AC39" t="s">
        <v>1947</v>
      </c>
      <c r="AD39" t="s">
        <v>1948</v>
      </c>
      <c r="AE39" t="s">
        <v>1949</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534</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534</v>
      </c>
      <c r="B42" t="s">
        <v>535</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534</v>
      </c>
      <c r="B43" t="s">
        <v>535</v>
      </c>
      <c r="C43" t="s">
        <v>536</v>
      </c>
      <c r="E43" s="6"/>
      <c r="F43" s="6"/>
      <c r="G43" s="6">
        <v>1</v>
      </c>
      <c r="S43" t="str">
        <f>INDEX(PT_DIFFERENTIATION_NUM_CS,MATCH(C43,PT_DIFFERENTIATION_CS_ID,0))</f>
        <v>..</v>
      </c>
      <c r="T43" t="s">
        <v>1936</v>
      </c>
      <c r="V43" s="6"/>
      <c r="W43" s="6"/>
      <c r="X43" s="6"/>
      <c r="Y43" s="6"/>
      <c r="Z43" s="6"/>
      <c r="AA43" s="6"/>
      <c r="AB43" s="6"/>
      <c r="AC43" s="6" t="str">
        <f>INDEX(PT_DIFFERENTIATION_CS,MATCH(C43,PT_DIFFERENTIATION_CS_ID,0))</f>
        <v/>
      </c>
      <c r="AD43" s="6"/>
      <c r="AE43" s="6"/>
      <c r="AF43" s="6"/>
      <c r="AG43" s="6"/>
      <c r="AH43" s="6"/>
      <c r="AI43" s="6"/>
      <c r="AJ43" s="6"/>
      <c r="AK43" t="s">
        <v>1937</v>
      </c>
      <c r="AN43" t="str">
        <f t="shared" si="1"/>
        <v>Наименование централизованной системы холодного водоснабжения</v>
      </c>
    </row>
    <row r="44" spans="1:40" ht="23.25" customHeight="1" x14ac:dyDescent="0.15">
      <c r="A44" t="s">
        <v>534</v>
      </c>
      <c r="B44" t="s">
        <v>535</v>
      </c>
      <c r="C44" t="s">
        <v>536</v>
      </c>
      <c r="D44" t="s">
        <v>1955</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534</v>
      </c>
      <c r="B45" t="s">
        <v>535</v>
      </c>
      <c r="C45" t="s">
        <v>536</v>
      </c>
      <c r="D45" t="s">
        <v>1955</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534</v>
      </c>
      <c r="B46" t="s">
        <v>535</v>
      </c>
      <c r="C46" t="s">
        <v>536</v>
      </c>
      <c r="D46" t="s">
        <v>1955</v>
      </c>
      <c r="E46" s="6"/>
      <c r="F46" s="6"/>
      <c r="G46" s="6"/>
      <c r="H46" s="6"/>
      <c r="I46" s="6"/>
      <c r="J46" s="6"/>
      <c r="K46" s="6" t="str">
        <f>J45&amp;".1"</f>
        <v>...1.1.1</v>
      </c>
      <c r="P46" s="6"/>
      <c r="Q46" s="6"/>
      <c r="R46">
        <v>1</v>
      </c>
      <c r="S46" t="str">
        <f>$K46</f>
        <v>...1.1.1</v>
      </c>
      <c r="Y46" s="6"/>
      <c r="Z46" s="6" t="s">
        <v>50</v>
      </c>
      <c r="AA46" s="6"/>
      <c r="AB46" s="6" t="s">
        <v>50</v>
      </c>
      <c r="AF46" s="6"/>
      <c r="AG46" s="6" t="s">
        <v>50</v>
      </c>
      <c r="AH46" s="6"/>
      <c r="AI46" s="6" t="s">
        <v>50</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534</v>
      </c>
      <c r="B47" t="s">
        <v>535</v>
      </c>
      <c r="C47" t="s">
        <v>536</v>
      </c>
      <c r="D47" t="s">
        <v>1955</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534</v>
      </c>
      <c r="B48" t="s">
        <v>535</v>
      </c>
      <c r="C48" t="s">
        <v>536</v>
      </c>
      <c r="D48" t="s">
        <v>1955</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534</v>
      </c>
      <c r="B49" t="s">
        <v>535</v>
      </c>
      <c r="C49" t="s">
        <v>536</v>
      </c>
      <c r="D49" t="s">
        <v>1955</v>
      </c>
      <c r="E49" s="6"/>
      <c r="F49" s="6"/>
      <c r="G49" s="6"/>
      <c r="H49" s="6"/>
      <c r="I49" s="6"/>
      <c r="P49" s="6"/>
      <c r="T49" t="s">
        <v>1736</v>
      </c>
      <c r="AN49" t="str">
        <f t="shared" si="1"/>
        <v>Добавить группу потребителей</v>
      </c>
    </row>
    <row r="50" spans="1:40" ht="21" customHeight="1" x14ac:dyDescent="0.15">
      <c r="A50" t="s">
        <v>534</v>
      </c>
      <c r="B50" t="s">
        <v>535</v>
      </c>
      <c r="C50" t="s">
        <v>536</v>
      </c>
      <c r="D50" t="s">
        <v>1955</v>
      </c>
      <c r="E50" s="6"/>
      <c r="F50" s="6"/>
      <c r="G50" s="6"/>
      <c r="H50" s="6"/>
      <c r="T50" t="s">
        <v>1943</v>
      </c>
      <c r="AN50" t="str">
        <f t="shared" si="1"/>
        <v>Добавить наименование признака дифференциации</v>
      </c>
    </row>
    <row r="51" spans="1:40" ht="0.75" customHeight="1" x14ac:dyDescent="0.15">
      <c r="A51" t="s">
        <v>534</v>
      </c>
      <c r="B51" t="s">
        <v>535</v>
      </c>
      <c r="E51" s="6"/>
      <c r="F51" s="6"/>
      <c r="T51" t="s">
        <v>1697</v>
      </c>
      <c r="AN51" t="str">
        <f t="shared" si="1"/>
        <v>Добавить централизованную систему для дифференциации</v>
      </c>
    </row>
    <row r="52" spans="1:40" ht="0.75" customHeight="1" x14ac:dyDescent="0.15">
      <c r="A52" t="s">
        <v>534</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hidden="1" customHeight="1" x14ac:dyDescent="0.15"/>
    <row r="55" spans="1:40" ht="14.25" hidden="1" customHeight="1" x14ac:dyDescent="0.15">
      <c r="S55" t="s">
        <v>1769</v>
      </c>
      <c r="T55" s="6" t="s">
        <v>1951</v>
      </c>
      <c r="U55" s="6"/>
      <c r="V55" s="6"/>
      <c r="W55" s="6"/>
      <c r="X55" s="6"/>
      <c r="Y55" s="6"/>
      <c r="Z55" s="6"/>
      <c r="AA55" s="6"/>
      <c r="AB55" s="6"/>
      <c r="AC55" s="6"/>
      <c r="AD55" s="6"/>
      <c r="AE55" s="6"/>
      <c r="AF55" s="6"/>
      <c r="AG55" s="6"/>
      <c r="AH55" s="6"/>
      <c r="AI55" s="6"/>
      <c r="AJ55" s="6"/>
      <c r="AK55" s="6"/>
    </row>
    <row r="56" spans="1:40" ht="14.25" hidden="1" customHeight="1" x14ac:dyDescent="0.15"/>
    <row r="57" spans="1:40" ht="14.25" hidden="1" customHeight="1" x14ac:dyDescent="0.15">
      <c r="S57" t="s">
        <v>1769</v>
      </c>
      <c r="T57" s="6" t="s">
        <v>1952</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67"/>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2" width="3.7109375" customWidth="1"/>
    <col min="33" max="33" width="24.7109375" customWidth="1"/>
    <col min="34" max="36" width="3.7109375" customWidth="1"/>
    <col min="37" max="37" width="24.7109375" customWidth="1"/>
    <col min="38" max="40" width="3.7109375" customWidth="1"/>
    <col min="41" max="41" width="18.85546875" customWidth="1"/>
    <col min="42" max="44" width="3.7109375" customWidth="1"/>
    <col min="45" max="45" width="18.85546875" customWidth="1"/>
    <col min="46" max="49" width="21.7109375" customWidth="1"/>
    <col min="50" max="50" width="11.7109375" customWidth="1"/>
    <col min="51" max="51" width="3.7109375" customWidth="1"/>
    <col min="52" max="52" width="11.7109375" customWidth="1"/>
    <col min="53" max="53" width="8.5703125" hidden="1" customWidth="1"/>
    <col min="54" max="54" width="4.7109375" customWidth="1"/>
    <col min="55" max="55" width="115.7109375" customWidth="1"/>
    <col min="58" max="58" width="11.140625" customWidth="1"/>
  </cols>
  <sheetData>
    <row r="1" spans="5:58" ht="14.25" hidden="1" customHeight="1" x14ac:dyDescent="0.15"/>
    <row r="2" spans="5:58"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s="6"/>
      <c r="AN2" s="6"/>
      <c r="AO2" s="6"/>
      <c r="AP2" s="6"/>
      <c r="AQ2" s="6"/>
      <c r="AR2" s="6"/>
      <c r="AS2" s="6"/>
      <c r="AT2" s="6"/>
      <c r="AU2" s="6"/>
      <c r="AV2" s="6"/>
      <c r="AW2" s="6"/>
      <c r="AX2" s="6"/>
      <c r="AY2" s="6"/>
      <c r="AZ2" s="6"/>
      <c r="BA2" s="6"/>
      <c r="BB2" s="6"/>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t="str">
        <f t="shared" ref="BF2:BF8" si="0">IF(T2="","",T2)</f>
        <v>Наименование тарифа</v>
      </c>
    </row>
    <row r="3" spans="5:58"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s="6"/>
      <c r="AN3" s="6"/>
      <c r="AO3" s="6"/>
      <c r="AP3" s="6"/>
      <c r="AQ3" s="6"/>
      <c r="AR3" s="6"/>
      <c r="AS3" s="6"/>
      <c r="AT3" s="6"/>
      <c r="AU3" s="6"/>
      <c r="AV3" s="6"/>
      <c r="AW3" s="6"/>
      <c r="AX3" s="6"/>
      <c r="AY3" s="6"/>
      <c r="AZ3" s="6"/>
      <c r="BA3" s="6"/>
      <c r="BB3" s="6"/>
      <c r="BC3" t="s">
        <v>1722</v>
      </c>
      <c r="BF3" t="str">
        <f t="shared" si="0"/>
        <v>Территория действия тарифа</v>
      </c>
    </row>
    <row r="4" spans="5:58" ht="42" hidden="1" customHeight="1" x14ac:dyDescent="0.15">
      <c r="E4" s="6"/>
      <c r="F4" s="6"/>
      <c r="G4" s="6">
        <v>1</v>
      </c>
      <c r="S4" t="e">
        <f>INDEX(PT_DIFFERENTIATION_NUM_CS,MATCH(C4,PT_DIFFERENTIATION_CS_ID,0))</f>
        <v>#N/A</v>
      </c>
      <c r="T4" t="s">
        <v>1936</v>
      </c>
      <c r="V4" s="6"/>
      <c r="W4" s="6"/>
      <c r="X4" s="6"/>
      <c r="Y4" s="6"/>
      <c r="Z4" s="6"/>
      <c r="AA4" s="6"/>
      <c r="AB4" s="6"/>
      <c r="AC4" s="6"/>
      <c r="AD4" s="6" t="e">
        <f>INDEX(PT_DIFFERENTIATION_CS,MATCH(C4,PT_DIFFERENTIATION_CS_ID,0))</f>
        <v>#N/A</v>
      </c>
      <c r="AE4" s="6"/>
      <c r="AF4" s="6"/>
      <c r="AG4" s="6"/>
      <c r="AH4" s="6"/>
      <c r="AI4" s="6"/>
      <c r="AJ4" s="6"/>
      <c r="AK4" s="6"/>
      <c r="AL4" s="6"/>
      <c r="AM4" s="6"/>
      <c r="AN4" s="6"/>
      <c r="AO4" s="6"/>
      <c r="AP4" s="6"/>
      <c r="AQ4" s="6"/>
      <c r="AR4" s="6"/>
      <c r="AS4" s="6"/>
      <c r="AT4" s="6"/>
      <c r="AU4" s="6"/>
      <c r="AV4" s="6"/>
      <c r="AW4" s="6"/>
      <c r="AX4" s="6"/>
      <c r="AY4" s="6"/>
      <c r="AZ4" s="6"/>
      <c r="BA4" s="6"/>
      <c r="BB4" s="6"/>
      <c r="BC4" t="s">
        <v>1937</v>
      </c>
      <c r="BF4" t="str">
        <f t="shared" si="0"/>
        <v>Наименование централизованной системы холодного водоснабжения</v>
      </c>
    </row>
    <row r="5" spans="5:58" ht="14.25" hidden="1" customHeight="1" x14ac:dyDescent="0.15">
      <c r="E5" s="6"/>
      <c r="F5" s="6"/>
      <c r="G5" s="6"/>
      <c r="H5" s="6">
        <v>1</v>
      </c>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t="s">
        <v>1726</v>
      </c>
      <c r="BF5" t="str">
        <f t="shared" si="0"/>
        <v/>
      </c>
    </row>
    <row r="6" spans="5:58" ht="14.25" hidden="1" customHeight="1" x14ac:dyDescent="0.15">
      <c r="E6" s="6"/>
      <c r="F6" s="6"/>
      <c r="G6" s="6"/>
      <c r="H6" s="6"/>
      <c r="I6" s="6" t="str">
        <f>S5&amp;".1"</f>
        <v>.1</v>
      </c>
      <c r="L6" t="s">
        <v>1727</v>
      </c>
      <c r="P6" s="6">
        <v>1</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F6" t="str">
        <f t="shared" si="0"/>
        <v/>
      </c>
    </row>
    <row r="7" spans="5:58" ht="14.25" hidden="1" customHeight="1" x14ac:dyDescent="0.15">
      <c r="E7" s="6"/>
      <c r="F7" s="6"/>
      <c r="G7" s="6"/>
      <c r="H7" s="6"/>
      <c r="I7" s="6"/>
      <c r="J7" s="6" t="str">
        <f>S5&amp;".1"</f>
        <v>.1</v>
      </c>
      <c r="P7" s="6"/>
      <c r="Q7" s="6">
        <v>1</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F7" t="str">
        <f t="shared" si="0"/>
        <v/>
      </c>
    </row>
    <row r="8" spans="5:58" ht="11.25" hidden="1" customHeight="1" x14ac:dyDescent="0.15">
      <c r="E8" s="6"/>
      <c r="F8" s="6"/>
      <c r="G8" s="6"/>
      <c r="H8" s="6"/>
      <c r="I8" s="6"/>
      <c r="J8" s="6"/>
      <c r="K8" s="6" t="e">
        <f>S4&amp;".1"</f>
        <v>#N/A</v>
      </c>
      <c r="P8" s="6"/>
      <c r="Q8" s="6"/>
      <c r="R8" s="6">
        <v>1</v>
      </c>
      <c r="S8" s="6" t="e">
        <f>$K8</f>
        <v>#N/A</v>
      </c>
      <c r="T8" s="6"/>
      <c r="AA8" t="s">
        <v>50</v>
      </c>
      <c r="AC8" t="s">
        <v>50</v>
      </c>
      <c r="AD8" s="6" t="s">
        <v>50</v>
      </c>
      <c r="AE8" s="6"/>
      <c r="AF8" s="6">
        <v>1</v>
      </c>
      <c r="AG8" s="6"/>
      <c r="AH8" s="6" t="s">
        <v>50</v>
      </c>
      <c r="AI8" s="6"/>
      <c r="AJ8" s="6">
        <v>1</v>
      </c>
      <c r="AK8" s="6" t="s">
        <v>4</v>
      </c>
      <c r="AL8" s="6" t="s">
        <v>50</v>
      </c>
      <c r="AM8" s="6"/>
      <c r="AN8" s="6">
        <v>1</v>
      </c>
      <c r="AO8" s="6"/>
      <c r="AP8" s="6" t="s">
        <v>50</v>
      </c>
      <c r="AR8">
        <v>1</v>
      </c>
      <c r="AS8" t="s">
        <v>4</v>
      </c>
      <c r="AY8" t="s">
        <v>50</v>
      </c>
      <c r="BA8" t="s">
        <v>50</v>
      </c>
      <c r="BC8" s="6" t="s">
        <v>1956</v>
      </c>
      <c r="BF8" t="str">
        <f t="shared" si="0"/>
        <v/>
      </c>
    </row>
    <row r="9" spans="5:58" ht="11.25" hidden="1" customHeight="1" x14ac:dyDescent="0.15">
      <c r="E9" s="6"/>
      <c r="F9" s="6"/>
      <c r="G9" s="6"/>
      <c r="H9" s="6"/>
      <c r="I9" s="6"/>
      <c r="J9" s="6"/>
      <c r="K9" s="6"/>
      <c r="P9" s="6"/>
      <c r="Q9" s="6"/>
      <c r="R9" s="6"/>
      <c r="S9" s="6"/>
      <c r="T9" s="6"/>
      <c r="AD9" s="6"/>
      <c r="AE9" s="6"/>
      <c r="AF9" s="6"/>
      <c r="AG9" s="6"/>
      <c r="AH9" s="6"/>
      <c r="AI9" s="6"/>
      <c r="AJ9" s="6"/>
      <c r="AK9" s="6"/>
      <c r="AL9" s="6"/>
      <c r="AM9" s="6"/>
      <c r="AN9" s="6"/>
      <c r="AO9" s="6"/>
      <c r="AP9" s="6"/>
      <c r="AS9" t="s">
        <v>1957</v>
      </c>
      <c r="BC9" s="6"/>
    </row>
    <row r="10" spans="5:58" ht="11.25" hidden="1" customHeight="1" x14ac:dyDescent="0.15">
      <c r="E10" s="6"/>
      <c r="F10" s="6"/>
      <c r="G10" s="6"/>
      <c r="H10" s="6"/>
      <c r="I10" s="6"/>
      <c r="J10" s="6"/>
      <c r="K10" s="6"/>
      <c r="P10" s="6"/>
      <c r="Q10" s="6"/>
      <c r="R10" s="6"/>
      <c r="S10" s="6"/>
      <c r="T10" s="6"/>
      <c r="AD10" s="6"/>
      <c r="AE10" s="6"/>
      <c r="AF10" s="6"/>
      <c r="AG10" s="6"/>
      <c r="AH10" s="6"/>
      <c r="AI10" s="6"/>
      <c r="AJ10" s="6"/>
      <c r="AK10" s="6"/>
      <c r="AL10" s="6"/>
      <c r="AO10" t="s">
        <v>1958</v>
      </c>
      <c r="BC10" s="6"/>
    </row>
    <row r="11" spans="5:58" ht="11.25" hidden="1" customHeight="1" x14ac:dyDescent="0.15">
      <c r="E11" s="6"/>
      <c r="F11" s="6"/>
      <c r="G11" s="6"/>
      <c r="H11" s="6"/>
      <c r="I11" s="6"/>
      <c r="J11" s="6"/>
      <c r="K11" s="6"/>
      <c r="P11" s="6"/>
      <c r="Q11" s="6"/>
      <c r="R11" s="6"/>
      <c r="S11" s="6"/>
      <c r="T11" s="6"/>
      <c r="AD11" s="6"/>
      <c r="AE11" s="6"/>
      <c r="AF11" s="6"/>
      <c r="AG11" s="6"/>
      <c r="AH11" s="6"/>
      <c r="AK11" t="s">
        <v>1959</v>
      </c>
      <c r="BC11" s="6"/>
    </row>
    <row r="12" spans="5:58" ht="11.25" hidden="1" customHeight="1" x14ac:dyDescent="0.15">
      <c r="E12" s="6"/>
      <c r="F12" s="6"/>
      <c r="G12" s="6"/>
      <c r="H12" s="6"/>
      <c r="I12" s="6"/>
      <c r="J12" s="6"/>
      <c r="K12" s="6"/>
      <c r="P12" s="6"/>
      <c r="Q12" s="6"/>
      <c r="R12" s="6"/>
      <c r="S12" s="6"/>
      <c r="T12" s="6"/>
      <c r="W12" t="str">
        <f>Z8&amp;"-"&amp;AB8</f>
        <v>-</v>
      </c>
      <c r="Y12" t="str">
        <f>AB8&amp;"-"&amp;AD8</f>
        <v>-да</v>
      </c>
      <c r="AD12" s="6"/>
      <c r="AG12" t="s">
        <v>1960</v>
      </c>
      <c r="AU12" t="str">
        <f>AX8&amp;"-"&amp;AZ8</f>
        <v>-</v>
      </c>
      <c r="AW12" t="str">
        <f>AZ8&amp;"-"&amp;BB8</f>
        <v>-</v>
      </c>
      <c r="BB12" t="str">
        <f>BE8&amp;"-"&amp;BG8</f>
        <v>-</v>
      </c>
      <c r="BC12" s="6"/>
      <c r="BF12" t="str">
        <f t="shared" ref="BF12:BF18" si="1">IF(T12="","",T12)</f>
        <v/>
      </c>
    </row>
    <row r="13" spans="5:58" ht="11.25" hidden="1" customHeight="1" x14ac:dyDescent="0.15">
      <c r="E13" s="6"/>
      <c r="F13" s="6"/>
      <c r="G13" s="6"/>
      <c r="H13" s="6"/>
      <c r="I13" s="6"/>
      <c r="J13" s="6"/>
      <c r="P13" s="6"/>
      <c r="Q13" s="6"/>
      <c r="T13" t="s">
        <v>1801</v>
      </c>
      <c r="BC13" s="6"/>
      <c r="BF13" t="str">
        <f t="shared" si="1"/>
        <v>Добавить строку</v>
      </c>
    </row>
    <row r="14" spans="5:58" ht="14.25" hidden="1" customHeight="1" x14ac:dyDescent="0.15">
      <c r="E14" s="6"/>
      <c r="F14" s="6"/>
      <c r="G14" s="6"/>
      <c r="H14" s="6"/>
      <c r="I14" s="6"/>
      <c r="P14" s="6"/>
      <c r="BF14" t="str">
        <f t="shared" si="1"/>
        <v/>
      </c>
    </row>
    <row r="15" spans="5:58" ht="14.25" hidden="1" customHeight="1" x14ac:dyDescent="0.15">
      <c r="E15" s="6"/>
      <c r="F15" s="6"/>
      <c r="G15" s="6"/>
      <c r="H15" s="6"/>
      <c r="BF15" t="str">
        <f t="shared" si="1"/>
        <v/>
      </c>
    </row>
    <row r="16" spans="5:58" ht="14.25" hidden="1" customHeight="1" x14ac:dyDescent="0.15">
      <c r="E16" s="6"/>
      <c r="F16" s="6"/>
      <c r="G16" s="6"/>
      <c r="BF16" t="str">
        <f t="shared" si="1"/>
        <v/>
      </c>
    </row>
    <row r="17" spans="5:58" ht="14.25" hidden="1" customHeight="1" x14ac:dyDescent="0.15">
      <c r="E17" s="6"/>
      <c r="F17" s="6"/>
      <c r="T17" t="s">
        <v>1697</v>
      </c>
      <c r="BF17" t="str">
        <f t="shared" si="1"/>
        <v>Добавить централизованную систему для дифференциации</v>
      </c>
    </row>
    <row r="18" spans="5:58" ht="14.25" hidden="1" customHeight="1" x14ac:dyDescent="0.15">
      <c r="E18" s="6"/>
      <c r="T18" t="s">
        <v>1698</v>
      </c>
      <c r="BF18" t="str">
        <f t="shared" si="1"/>
        <v>Добавить территорию для дифференциации</v>
      </c>
    </row>
    <row r="19" spans="5:58" ht="14.25" hidden="1" customHeight="1" x14ac:dyDescent="0.15"/>
    <row r="20" spans="5:58" ht="14.25" hidden="1" customHeight="1" x14ac:dyDescent="0.15">
      <c r="AD20" t="s">
        <v>43</v>
      </c>
      <c r="AF20">
        <v>1</v>
      </c>
      <c r="AH20" t="s">
        <v>43</v>
      </c>
      <c r="AJ20">
        <v>1</v>
      </c>
      <c r="AL20" t="s">
        <v>43</v>
      </c>
      <c r="AN20">
        <v>1</v>
      </c>
      <c r="AP20" t="s">
        <v>43</v>
      </c>
      <c r="AR20">
        <v>1</v>
      </c>
      <c r="AY20" t="s">
        <v>50</v>
      </c>
      <c r="BA20" t="s">
        <v>50</v>
      </c>
    </row>
    <row r="21" spans="5:58" ht="14.25" hidden="1" customHeight="1" x14ac:dyDescent="0.15"/>
    <row r="22" spans="5:58" ht="14.25" hidden="1" customHeight="1" x14ac:dyDescent="0.15">
      <c r="O22" t="s">
        <v>1738</v>
      </c>
    </row>
    <row r="23" spans="5:58" ht="14.25" hidden="1" customHeight="1" x14ac:dyDescent="0.15"/>
    <row r="24" spans="5:58" ht="14.25" hidden="1" customHeight="1" x14ac:dyDescent="0.15">
      <c r="O24" t="s">
        <v>1739</v>
      </c>
      <c r="AA24" t="s">
        <v>1741</v>
      </c>
      <c r="AC24" t="s">
        <v>1742</v>
      </c>
      <c r="AD24" t="s">
        <v>1802</v>
      </c>
      <c r="AH24" t="s">
        <v>1802</v>
      </c>
      <c r="AK24" t="s">
        <v>1961</v>
      </c>
      <c r="AL24" t="s">
        <v>1802</v>
      </c>
      <c r="AP24" t="s">
        <v>1802</v>
      </c>
      <c r="AY24" t="s">
        <v>1741</v>
      </c>
      <c r="BA24" t="s">
        <v>1742</v>
      </c>
    </row>
    <row r="25" spans="5:58" ht="14.25" hidden="1" customHeight="1" x14ac:dyDescent="0.15"/>
    <row r="26" spans="5:58" ht="14.25" hidden="1" customHeight="1" x14ac:dyDescent="0.15"/>
    <row r="28" spans="5:58" ht="33.75" customHeight="1" x14ac:dyDescent="0.15">
      <c r="S28" s="6"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5:58" ht="14.25" customHeight="1" x14ac:dyDescent="0.15">
      <c r="S29" s="6" t="str">
        <f>IF(org=0,"Не определено",org)</f>
        <v>КГУП "Примтеплоэнерго"</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5:58" ht="14.25" hidden="1" customHeight="1" x14ac:dyDescent="0.15"/>
    <row r="31" spans="5:58" ht="25.5" hidden="1" customHeight="1" x14ac:dyDescent="0.15">
      <c r="S31" s="6" t="s">
        <v>25</v>
      </c>
      <c r="T31" s="6"/>
      <c r="V31" s="6"/>
      <c r="W31" s="6"/>
      <c r="X31" s="6"/>
      <c r="Y31" s="6"/>
      <c r="Z31" s="6"/>
      <c r="AA31" s="6"/>
      <c r="AB31" s="6"/>
      <c r="AD31" s="6" t="str">
        <f>IF(TITLE_NAME_OR_PR_CHANGE="",IF(TITLE_NAME_OR_PR="","",TITLE_NAME_OR_PR),TITLE_NAME_OR_PR_CHANGE)</f>
        <v/>
      </c>
      <c r="AE31" s="6"/>
      <c r="AF31" s="6"/>
      <c r="AG31" s="6"/>
      <c r="AH31" s="6"/>
      <c r="AI31" s="6"/>
      <c r="AJ31" s="6"/>
      <c r="AK31" s="6"/>
      <c r="AL31" s="6"/>
      <c r="AM31" s="6"/>
      <c r="AN31" s="6"/>
      <c r="AO31" s="6"/>
      <c r="AP31" s="6"/>
      <c r="AQ31" s="6"/>
      <c r="AR31" s="6"/>
      <c r="AS31" s="6"/>
      <c r="AT31" s="6"/>
      <c r="AU31" s="6"/>
      <c r="AV31" s="6"/>
      <c r="AW31" s="6"/>
      <c r="AX31" s="6"/>
      <c r="AY31" s="6"/>
      <c r="AZ31" s="6"/>
    </row>
    <row r="32" spans="5:58" ht="18.75" hidden="1" customHeight="1" x14ac:dyDescent="0.15">
      <c r="S32" s="6" t="s">
        <v>1744</v>
      </c>
      <c r="T32" s="6"/>
      <c r="V32" s="6"/>
      <c r="W32" s="6"/>
      <c r="X32" s="6"/>
      <c r="Y32" s="6"/>
      <c r="Z32" s="6"/>
      <c r="AA32" s="6"/>
      <c r="AB32" s="6"/>
      <c r="AD32" s="6" t="str">
        <f>IF(TITLE_DATE_CHANGE_PERIOD="",IF(TITLE_DATE_PR="","",TITLE_DATE_PR),TITLE_DATE_CHANGE_PERIOD)</f>
        <v/>
      </c>
      <c r="AE32" s="6"/>
      <c r="AF32" s="6"/>
      <c r="AG32" s="6"/>
      <c r="AH32" s="6"/>
      <c r="AI32" s="6"/>
      <c r="AJ32" s="6"/>
      <c r="AK32" s="6"/>
      <c r="AL32" s="6"/>
      <c r="AM32" s="6"/>
      <c r="AN32" s="6"/>
      <c r="AO32" s="6"/>
      <c r="AP32" s="6"/>
      <c r="AQ32" s="6"/>
      <c r="AR32" s="6"/>
      <c r="AS32" s="6"/>
      <c r="AT32" s="6"/>
      <c r="AU32" s="6"/>
      <c r="AV32" s="6"/>
      <c r="AW32" s="6"/>
      <c r="AX32" s="6"/>
      <c r="AY32" s="6"/>
      <c r="AZ32" s="6"/>
    </row>
    <row r="33" spans="1:58" ht="18.75" hidden="1" customHeight="1" x14ac:dyDescent="0.15">
      <c r="S33" s="6" t="s">
        <v>1745</v>
      </c>
      <c r="T33" s="6"/>
      <c r="V33" s="6"/>
      <c r="W33" s="6"/>
      <c r="X33" s="6"/>
      <c r="Y33" s="6"/>
      <c r="Z33" s="6"/>
      <c r="AA33" s="6"/>
      <c r="AB33" s="6"/>
      <c r="AD33" s="6" t="str">
        <f>IF(TITLE_NUMBER_PR_CHANGE="",IF(TITLE_NUMBER_PR="","",TITLE_NUMBER_PR),TITLE_NUMBER_PR_CHANGE)</f>
        <v/>
      </c>
      <c r="AE33" s="6"/>
      <c r="AF33" s="6"/>
      <c r="AG33" s="6"/>
      <c r="AH33" s="6"/>
      <c r="AI33" s="6"/>
      <c r="AJ33" s="6"/>
      <c r="AK33" s="6"/>
      <c r="AL33" s="6"/>
      <c r="AM33" s="6"/>
      <c r="AN33" s="6"/>
      <c r="AO33" s="6"/>
      <c r="AP33" s="6"/>
      <c r="AQ33" s="6"/>
      <c r="AR33" s="6"/>
      <c r="AS33" s="6"/>
      <c r="AT33" s="6"/>
      <c r="AU33" s="6"/>
      <c r="AV33" s="6"/>
      <c r="AW33" s="6"/>
      <c r="AX33" s="6"/>
      <c r="AY33" s="6"/>
      <c r="AZ33" s="6"/>
    </row>
    <row r="34" spans="1:58" ht="18.75" hidden="1" customHeight="1" x14ac:dyDescent="0.15">
      <c r="S34" s="6" t="s">
        <v>26</v>
      </c>
      <c r="T34" s="6"/>
      <c r="V34" s="6"/>
      <c r="W34" s="6"/>
      <c r="X34" s="6"/>
      <c r="Y34" s="6"/>
      <c r="Z34" s="6"/>
      <c r="AA34" s="6"/>
      <c r="AB34" s="6"/>
      <c r="AD34" s="6" t="str">
        <f>IF(TITLE_IST_PUB_CHANGE="",IF(TITLE_IST_PUB="","",TITLE_IST_PUB),TITLE_IST_PUB_CHANGE)</f>
        <v/>
      </c>
      <c r="AE34" s="6"/>
      <c r="AF34" s="6"/>
      <c r="AG34" s="6"/>
      <c r="AH34" s="6"/>
      <c r="AI34" s="6"/>
      <c r="AJ34" s="6"/>
      <c r="AK34" s="6"/>
      <c r="AL34" s="6"/>
      <c r="AM34" s="6"/>
      <c r="AN34" s="6"/>
      <c r="AO34" s="6"/>
      <c r="AP34" s="6"/>
      <c r="AQ34" s="6"/>
      <c r="AR34" s="6"/>
      <c r="AS34" s="6"/>
      <c r="AT34" s="6"/>
      <c r="AU34" s="6"/>
      <c r="AV34" s="6"/>
      <c r="AW34" s="6"/>
      <c r="AX34" s="6"/>
      <c r="AY34" s="6"/>
      <c r="AZ34" s="6"/>
    </row>
    <row r="35" spans="1:58" ht="14.25" hidden="1" customHeight="1" x14ac:dyDescent="0.15"/>
    <row r="36" spans="1:58" ht="18.75" hidden="1" customHeight="1" x14ac:dyDescent="0.15">
      <c r="S36" s="6" t="s">
        <v>1744</v>
      </c>
      <c r="T36" s="6"/>
      <c r="V36" s="6"/>
      <c r="W36" s="6"/>
      <c r="X36" s="6"/>
      <c r="Y36" s="6"/>
      <c r="Z36" s="6"/>
      <c r="AA36" s="6"/>
      <c r="AB36" s="6"/>
      <c r="AD36" s="6" t="str">
        <f>IF(TITLE_DATE_CHANGE_PERIOD="",IF(TITLE_DATE_PR="","",TITLE_DATE_PR),TITLE_DATE_CHANGE_PERIOD)</f>
        <v/>
      </c>
      <c r="AE36" s="6"/>
      <c r="AF36" s="6"/>
      <c r="AG36" s="6"/>
      <c r="AH36" s="6"/>
      <c r="AI36" s="6"/>
      <c r="AJ36" s="6"/>
      <c r="AK36" s="6"/>
      <c r="AL36" s="6"/>
      <c r="AM36" s="6"/>
      <c r="AN36" s="6"/>
      <c r="AO36" s="6"/>
      <c r="AP36" s="6"/>
      <c r="AQ36" s="6"/>
      <c r="AR36" s="6"/>
      <c r="AS36" s="6"/>
      <c r="AT36" s="6"/>
      <c r="AU36" s="6"/>
      <c r="AV36" s="6"/>
      <c r="AW36" s="6"/>
      <c r="AX36" s="6"/>
      <c r="AY36" s="6"/>
      <c r="AZ36" s="6"/>
    </row>
    <row r="37" spans="1:58" ht="18.75" hidden="1" customHeight="1" x14ac:dyDescent="0.15">
      <c r="S37" s="6" t="s">
        <v>1745</v>
      </c>
      <c r="T37" s="6"/>
      <c r="V37" s="6"/>
      <c r="W37" s="6"/>
      <c r="X37" s="6"/>
      <c r="Y37" s="6"/>
      <c r="Z37" s="6"/>
      <c r="AA37" s="6"/>
      <c r="AB37" s="6"/>
      <c r="AD37" s="6" t="str">
        <f>IF(TITLE_NUMBER_PR_CHANGE="",IF(TITLE_NUMBER_PR="","",TITLE_NUMBER_PR),TITLE_NUMBER_PR_CHANGE)</f>
        <v/>
      </c>
      <c r="AE37" s="6"/>
      <c r="AF37" s="6"/>
      <c r="AG37" s="6"/>
      <c r="AH37" s="6"/>
      <c r="AI37" s="6"/>
      <c r="AJ37" s="6"/>
      <c r="AK37" s="6"/>
      <c r="AL37" s="6"/>
      <c r="AM37" s="6"/>
      <c r="AN37" s="6"/>
      <c r="AO37" s="6"/>
      <c r="AP37" s="6"/>
      <c r="AQ37" s="6"/>
      <c r="AR37" s="6"/>
      <c r="AS37" s="6"/>
      <c r="AT37" s="6"/>
      <c r="AU37" s="6"/>
      <c r="AV37" s="6"/>
      <c r="AW37" s="6"/>
      <c r="AX37" s="6"/>
      <c r="AY37" s="6"/>
      <c r="AZ37" s="6"/>
    </row>
    <row r="38" spans="1:58" ht="0" hidden="1" customHeight="1" x14ac:dyDescent="0.15">
      <c r="AC38" t="s">
        <v>1748</v>
      </c>
      <c r="BA38" t="s">
        <v>1748</v>
      </c>
    </row>
    <row r="39" spans="1:58" ht="14.25" customHeight="1" x14ac:dyDescent="0.15">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8" ht="14.25" customHeight="1" x14ac:dyDescent="0.15">
      <c r="S40" s="6" t="s">
        <v>593</v>
      </c>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t="s">
        <v>594</v>
      </c>
    </row>
    <row r="41" spans="1:58" ht="14.25" customHeight="1" x14ac:dyDescent="0.15">
      <c r="S41" s="6" t="s">
        <v>75</v>
      </c>
      <c r="T41" s="6" t="s">
        <v>1962</v>
      </c>
      <c r="V41" s="6" t="s">
        <v>1750</v>
      </c>
      <c r="W41" s="6"/>
      <c r="X41" s="6"/>
      <c r="Y41" s="6"/>
      <c r="Z41" s="6"/>
      <c r="AA41" s="6"/>
      <c r="AB41" s="6"/>
      <c r="AC41" s="6" t="s">
        <v>1751</v>
      </c>
      <c r="AD41" s="6" t="s">
        <v>1963</v>
      </c>
      <c r="AE41" s="6"/>
      <c r="AF41" s="6"/>
      <c r="AG41" s="6"/>
      <c r="AH41" s="6" t="s">
        <v>1964</v>
      </c>
      <c r="AI41" s="6"/>
      <c r="AJ41" s="6"/>
      <c r="AK41" s="6"/>
      <c r="AL41" s="6" t="s">
        <v>1965</v>
      </c>
      <c r="AM41" s="6"/>
      <c r="AN41" s="6"/>
      <c r="AO41" s="6"/>
      <c r="AP41" s="6" t="s">
        <v>1966</v>
      </c>
      <c r="AQ41" s="6"/>
      <c r="AR41" s="6"/>
      <c r="AS41" s="6"/>
      <c r="AT41" s="6" t="s">
        <v>1750</v>
      </c>
      <c r="AU41" s="6"/>
      <c r="AV41" s="6"/>
      <c r="AW41" s="6"/>
      <c r="AX41" s="6"/>
      <c r="AY41" s="6"/>
      <c r="AZ41" s="6"/>
      <c r="BA41" s="6" t="s">
        <v>1751</v>
      </c>
      <c r="BB41" s="6" t="s">
        <v>1753</v>
      </c>
      <c r="BC41" s="6"/>
    </row>
    <row r="42" spans="1:58" ht="33.75" customHeight="1" x14ac:dyDescent="0.15">
      <c r="S42" s="6"/>
      <c r="T42" s="6"/>
      <c r="V42" s="6" t="s">
        <v>1967</v>
      </c>
      <c r="W42" s="6"/>
      <c r="X42" s="6" t="s">
        <v>1968</v>
      </c>
      <c r="Y42" s="6"/>
      <c r="Z42" s="6" t="s">
        <v>1969</v>
      </c>
      <c r="AA42" s="6"/>
      <c r="AB42" s="6"/>
      <c r="AC42" s="6"/>
      <c r="AD42" s="6"/>
      <c r="AE42" s="6"/>
      <c r="AF42" s="6"/>
      <c r="AG42" s="6"/>
      <c r="AH42" s="6"/>
      <c r="AI42" s="6"/>
      <c r="AJ42" s="6"/>
      <c r="AK42" s="6"/>
      <c r="AL42" s="6"/>
      <c r="AM42" s="6"/>
      <c r="AN42" s="6"/>
      <c r="AO42" s="6"/>
      <c r="AP42" s="6"/>
      <c r="AQ42" s="6"/>
      <c r="AR42" s="6"/>
      <c r="AS42" s="6"/>
      <c r="AT42" s="6" t="s">
        <v>1967</v>
      </c>
      <c r="AU42" s="6"/>
      <c r="AV42" s="6" t="s">
        <v>1968</v>
      </c>
      <c r="AW42" s="6"/>
      <c r="AX42" s="6" t="s">
        <v>1969</v>
      </c>
      <c r="AY42" s="6"/>
      <c r="AZ42" s="6"/>
      <c r="BA42" s="6"/>
      <c r="BB42" s="6"/>
      <c r="BC42" s="6"/>
    </row>
    <row r="43" spans="1:58" ht="14.25" customHeight="1" x14ac:dyDescent="0.15">
      <c r="S43" s="6"/>
      <c r="T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row>
    <row r="44" spans="1:58" ht="14.25" customHeight="1" x14ac:dyDescent="0.15">
      <c r="B44" t="s">
        <v>443</v>
      </c>
      <c r="C44" t="s">
        <v>444</v>
      </c>
      <c r="D44" t="s">
        <v>445</v>
      </c>
      <c r="E44" t="s">
        <v>1758</v>
      </c>
      <c r="F44" t="s">
        <v>1759</v>
      </c>
      <c r="G44" t="s">
        <v>1760</v>
      </c>
      <c r="H44" t="s">
        <v>1761</v>
      </c>
      <c r="I44" t="s">
        <v>1762</v>
      </c>
      <c r="J44" t="s">
        <v>1763</v>
      </c>
      <c r="K44" t="s">
        <v>1764</v>
      </c>
      <c r="L44" t="s">
        <v>1739</v>
      </c>
      <c r="S44" s="6"/>
      <c r="T44" s="6"/>
      <c r="V44" t="s">
        <v>1810</v>
      </c>
      <c r="W44" t="s">
        <v>1811</v>
      </c>
      <c r="X44" t="s">
        <v>1810</v>
      </c>
      <c r="Y44" t="s">
        <v>1811</v>
      </c>
      <c r="Z44" t="s">
        <v>1767</v>
      </c>
      <c r="AA44" s="6" t="s">
        <v>1768</v>
      </c>
      <c r="AB44" s="6"/>
      <c r="AC44" s="6"/>
      <c r="AD44" s="6"/>
      <c r="AE44" s="6"/>
      <c r="AF44" s="6"/>
      <c r="AG44" s="6"/>
      <c r="AH44" s="6"/>
      <c r="AI44" s="6"/>
      <c r="AJ44" s="6"/>
      <c r="AK44" s="6"/>
      <c r="AL44" s="6"/>
      <c r="AM44" s="6"/>
      <c r="AN44" s="6"/>
      <c r="AO44" s="6"/>
      <c r="AP44" s="6"/>
      <c r="AQ44" s="6"/>
      <c r="AR44" s="6"/>
      <c r="AS44" s="6"/>
      <c r="AT44" t="s">
        <v>1810</v>
      </c>
      <c r="AU44" t="s">
        <v>1811</v>
      </c>
      <c r="AV44" t="s">
        <v>1810</v>
      </c>
      <c r="AW44" t="s">
        <v>1811</v>
      </c>
      <c r="AX44" t="s">
        <v>1767</v>
      </c>
      <c r="AY44" s="6" t="s">
        <v>1768</v>
      </c>
      <c r="AZ44" s="6"/>
      <c r="BA44" s="6"/>
      <c r="BB44" s="6"/>
      <c r="BC44" s="6"/>
    </row>
    <row r="45" spans="1:58" ht="11.25" hidden="1" customHeight="1" x14ac:dyDescent="0.15">
      <c r="R45">
        <v>1</v>
      </c>
      <c r="S45" t="s">
        <v>165</v>
      </c>
      <c r="T45" t="s">
        <v>89</v>
      </c>
      <c r="U45" t="str">
        <f ca="1">OFFSET(U45,0,-1)</f>
        <v>2</v>
      </c>
      <c r="V45">
        <f t="shared" ref="V45:AA45" ca="1" si="2">OFFSET(V45,0,-1)+1</f>
        <v>3</v>
      </c>
      <c r="W45">
        <f t="shared" ca="1" si="2"/>
        <v>4</v>
      </c>
      <c r="X45">
        <f t="shared" ca="1" si="2"/>
        <v>5</v>
      </c>
      <c r="Y45">
        <f t="shared" ca="1" si="2"/>
        <v>6</v>
      </c>
      <c r="Z45">
        <f t="shared" ca="1" si="2"/>
        <v>7</v>
      </c>
      <c r="AA45" s="6">
        <f t="shared" ca="1" si="2"/>
        <v>8</v>
      </c>
      <c r="AB45" s="6"/>
      <c r="AC45">
        <f ca="1">OFFSET(AC45,0,-2)+1</f>
        <v>9</v>
      </c>
      <c r="AD45">
        <f ca="1">OFFSET(AD45,0,-1)+1</f>
        <v>10</v>
      </c>
      <c r="AW45">
        <f ca="1">OFFSET(AW45,0,-1)+1</f>
        <v>1</v>
      </c>
      <c r="AX45">
        <f ca="1">OFFSET(AX45,0,-1)+1</f>
        <v>2</v>
      </c>
      <c r="AY45" s="6">
        <f ca="1">OFFSET(AY45,0,-1)+1</f>
        <v>3</v>
      </c>
      <c r="AZ45" s="6"/>
      <c r="BA45">
        <f ca="1">OFFSET(BA45,0,-2)+1</f>
        <v>4</v>
      </c>
      <c r="BB45">
        <f ca="1">OFFSET(BB45,0,-1)</f>
        <v>4</v>
      </c>
      <c r="BC45">
        <f ca="1">OFFSET(BC45,0,-1)+1</f>
        <v>5</v>
      </c>
    </row>
    <row r="46" spans="1:58" ht="21" customHeight="1" x14ac:dyDescent="0.15">
      <c r="A46" t="s">
        <v>539</v>
      </c>
      <c r="E46" s="6">
        <v>1</v>
      </c>
      <c r="S46">
        <f>INDEX(PT_DIFFERENTIATION_NUM_NTAR,MATCH(A46,PT_DIFFERENTIATION_NTAR_ID,0))</f>
        <v>0</v>
      </c>
      <c r="T46" t="s">
        <v>431</v>
      </c>
      <c r="V46" s="6"/>
      <c r="W46" s="6"/>
      <c r="X46" s="6"/>
      <c r="Y46" s="6"/>
      <c r="Z46" s="6"/>
      <c r="AA46" s="6"/>
      <c r="AB46" s="6"/>
      <c r="AC46" s="6"/>
      <c r="AD46" s="6" t="str">
        <f>INDEX(PT_DIFFERENTIATION_NTAR,MATCH(A46,PT_DIFFERENTIATION_NTAR_ID,0))</f>
        <v/>
      </c>
      <c r="AE46" s="6"/>
      <c r="AF46" s="6"/>
      <c r="AG46" s="6"/>
      <c r="AH46" s="6"/>
      <c r="AI46" s="6"/>
      <c r="AJ46" s="6"/>
      <c r="AK46" s="6"/>
      <c r="AL46" s="6"/>
      <c r="AM46" s="6"/>
      <c r="AN46" s="6"/>
      <c r="AO46" s="6"/>
      <c r="AP46" s="6"/>
      <c r="AQ46" s="6"/>
      <c r="AR46" s="6"/>
      <c r="AS46" s="6"/>
      <c r="AT46" s="6"/>
      <c r="AU46" s="6"/>
      <c r="AV46" s="6"/>
      <c r="AW46" s="6"/>
      <c r="AX46" s="6"/>
      <c r="AY46" s="6"/>
      <c r="AZ46" s="6"/>
      <c r="BA46" s="6"/>
      <c r="BB46" s="6"/>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t="str">
        <f t="shared" ref="BF46:BF52" si="3">IF(T46="","",T46)</f>
        <v>Наименование тарифа</v>
      </c>
    </row>
    <row r="47" spans="1:58" ht="21" customHeight="1" x14ac:dyDescent="0.15">
      <c r="A47" t="s">
        <v>539</v>
      </c>
      <c r="B47" t="s">
        <v>540</v>
      </c>
      <c r="E47" s="6"/>
      <c r="F47" s="6">
        <v>1</v>
      </c>
      <c r="S47" t="str">
        <f>INDEX(PT_DIFFERENTIATION_NUM_TER,MATCH(B47,PT_DIFFERENTIATION_TER_ID,0))</f>
        <v>.</v>
      </c>
      <c r="T47" t="s">
        <v>1721</v>
      </c>
      <c r="V47" s="6"/>
      <c r="W47" s="6"/>
      <c r="X47" s="6"/>
      <c r="Y47" s="6"/>
      <c r="Z47" s="6"/>
      <c r="AA47" s="6"/>
      <c r="AB47" s="6"/>
      <c r="AC47" s="6"/>
      <c r="AD47" s="6" t="str">
        <f>INDEX(PT_DIFFERENTIATION_TER,MATCH(B47,PT_DIFFERENTIATION_TER_ID,0))</f>
        <v/>
      </c>
      <c r="AE47" s="6"/>
      <c r="AF47" s="6"/>
      <c r="AG47" s="6"/>
      <c r="AH47" s="6"/>
      <c r="AI47" s="6"/>
      <c r="AJ47" s="6"/>
      <c r="AK47" s="6"/>
      <c r="AL47" s="6"/>
      <c r="AM47" s="6"/>
      <c r="AN47" s="6"/>
      <c r="AO47" s="6"/>
      <c r="AP47" s="6"/>
      <c r="AQ47" s="6"/>
      <c r="AR47" s="6"/>
      <c r="AS47" s="6"/>
      <c r="AT47" s="6"/>
      <c r="AU47" s="6"/>
      <c r="AV47" s="6"/>
      <c r="AW47" s="6"/>
      <c r="AX47" s="6"/>
      <c r="AY47" s="6"/>
      <c r="AZ47" s="6"/>
      <c r="BA47" s="6"/>
      <c r="BB47" s="6"/>
      <c r="BC47" t="s">
        <v>1722</v>
      </c>
      <c r="BF47" t="str">
        <f t="shared" si="3"/>
        <v>Территория действия тарифа</v>
      </c>
    </row>
    <row r="48" spans="1:58" ht="42" customHeight="1" x14ac:dyDescent="0.15">
      <c r="A48" t="s">
        <v>539</v>
      </c>
      <c r="B48" t="s">
        <v>540</v>
      </c>
      <c r="C48" t="s">
        <v>541</v>
      </c>
      <c r="E48" s="6"/>
      <c r="F48" s="6"/>
      <c r="G48" s="6">
        <v>1</v>
      </c>
      <c r="S48" t="str">
        <f>INDEX(PT_DIFFERENTIATION_NUM_CS,MATCH(C48,PT_DIFFERENTIATION_CS_ID,0))</f>
        <v>..</v>
      </c>
      <c r="T48" t="s">
        <v>1936</v>
      </c>
      <c r="V48" s="6"/>
      <c r="W48" s="6"/>
      <c r="X48" s="6"/>
      <c r="Y48" s="6"/>
      <c r="Z48" s="6"/>
      <c r="AA48" s="6"/>
      <c r="AB48" s="6"/>
      <c r="AC48" s="6"/>
      <c r="AD48" s="6" t="str">
        <f>INDEX(PT_DIFFERENTIATION_CS,MATCH(C48,PT_DIFFERENTIATION_CS_ID,0))</f>
        <v/>
      </c>
      <c r="AE48" s="6"/>
      <c r="AF48" s="6"/>
      <c r="AG48" s="6"/>
      <c r="AH48" s="6"/>
      <c r="AI48" s="6"/>
      <c r="AJ48" s="6"/>
      <c r="AK48" s="6"/>
      <c r="AL48" s="6"/>
      <c r="AM48" s="6"/>
      <c r="AN48" s="6"/>
      <c r="AO48" s="6"/>
      <c r="AP48" s="6"/>
      <c r="AQ48" s="6"/>
      <c r="AR48" s="6"/>
      <c r="AS48" s="6"/>
      <c r="AT48" s="6"/>
      <c r="AU48" s="6"/>
      <c r="AV48" s="6"/>
      <c r="AW48" s="6"/>
      <c r="AX48" s="6"/>
      <c r="AY48" s="6"/>
      <c r="AZ48" s="6"/>
      <c r="BA48" s="6"/>
      <c r="BB48" s="6"/>
      <c r="BC48" t="s">
        <v>1937</v>
      </c>
      <c r="BF48" t="str">
        <f t="shared" si="3"/>
        <v>Наименование централизованной системы холодного водоснабжения</v>
      </c>
    </row>
    <row r="49" spans="1:58" ht="0" hidden="1" customHeight="1" x14ac:dyDescent="0.15">
      <c r="A49" t="s">
        <v>539</v>
      </c>
      <c r="B49" t="s">
        <v>540</v>
      </c>
      <c r="C49" t="s">
        <v>541</v>
      </c>
      <c r="D49" t="s">
        <v>1970</v>
      </c>
      <c r="E49" s="6"/>
      <c r="F49" s="6"/>
      <c r="G49" s="6"/>
      <c r="H49" s="6">
        <v>1</v>
      </c>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t="s">
        <v>1726</v>
      </c>
      <c r="BF49" t="str">
        <f t="shared" si="3"/>
        <v/>
      </c>
    </row>
    <row r="50" spans="1:58" ht="0" hidden="1" customHeight="1" x14ac:dyDescent="0.15">
      <c r="A50" t="s">
        <v>539</v>
      </c>
      <c r="B50" t="s">
        <v>540</v>
      </c>
      <c r="C50" t="s">
        <v>541</v>
      </c>
      <c r="D50" t="s">
        <v>1970</v>
      </c>
      <c r="E50" s="6"/>
      <c r="F50" s="6"/>
      <c r="G50" s="6"/>
      <c r="H50" s="6"/>
      <c r="I50" s="6" t="str">
        <f>S49&amp;".1"</f>
        <v>.1</v>
      </c>
      <c r="L50" t="s">
        <v>1727</v>
      </c>
      <c r="P50" s="6">
        <v>1</v>
      </c>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F50" t="str">
        <f t="shared" si="3"/>
        <v/>
      </c>
    </row>
    <row r="51" spans="1:58" ht="0" hidden="1" customHeight="1" x14ac:dyDescent="0.15">
      <c r="A51" t="s">
        <v>539</v>
      </c>
      <c r="B51" t="s">
        <v>540</v>
      </c>
      <c r="C51" t="s">
        <v>541</v>
      </c>
      <c r="D51" t="s">
        <v>1970</v>
      </c>
      <c r="E51" s="6"/>
      <c r="F51" s="6"/>
      <c r="G51" s="6"/>
      <c r="H51" s="6"/>
      <c r="I51" s="6"/>
      <c r="J51" s="6" t="str">
        <f>S49&amp;".1"</f>
        <v>.1</v>
      </c>
      <c r="P51" s="6"/>
      <c r="Q51" s="6">
        <v>1</v>
      </c>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F51" t="str">
        <f t="shared" si="3"/>
        <v/>
      </c>
    </row>
    <row r="52" spans="1:58" ht="11.25" customHeight="1" x14ac:dyDescent="0.15">
      <c r="A52" t="s">
        <v>539</v>
      </c>
      <c r="B52" t="s">
        <v>540</v>
      </c>
      <c r="C52" t="s">
        <v>541</v>
      </c>
      <c r="D52" t="s">
        <v>1970</v>
      </c>
      <c r="E52" s="6"/>
      <c r="F52" s="6"/>
      <c r="G52" s="6"/>
      <c r="H52" s="6"/>
      <c r="I52" s="6"/>
      <c r="J52" s="6"/>
      <c r="K52" s="6" t="str">
        <f>S48&amp;".1"</f>
        <v>...1</v>
      </c>
      <c r="P52" s="6"/>
      <c r="Q52" s="6"/>
      <c r="R52">
        <v>1</v>
      </c>
      <c r="S52" s="6" t="str">
        <f>$K52</f>
        <v>...1</v>
      </c>
      <c r="T52" s="6"/>
      <c r="AA52" t="s">
        <v>50</v>
      </c>
      <c r="AC52" t="s">
        <v>50</v>
      </c>
      <c r="AD52" s="6" t="s">
        <v>50</v>
      </c>
      <c r="AE52" s="6"/>
      <c r="AF52" s="6">
        <v>1</v>
      </c>
      <c r="AG52" s="6"/>
      <c r="AH52" s="6" t="s">
        <v>50</v>
      </c>
      <c r="AI52" s="6"/>
      <c r="AJ52" s="6">
        <v>1</v>
      </c>
      <c r="AK52" s="6" t="s">
        <v>4</v>
      </c>
      <c r="AL52" s="6" t="s">
        <v>50</v>
      </c>
      <c r="AM52" s="6"/>
      <c r="AN52" s="6">
        <v>1</v>
      </c>
      <c r="AO52" s="6"/>
      <c r="AP52" s="6" t="s">
        <v>50</v>
      </c>
      <c r="AR52">
        <v>1</v>
      </c>
      <c r="AS52" t="s">
        <v>4</v>
      </c>
      <c r="AY52" t="s">
        <v>50</v>
      </c>
      <c r="BA52" t="s">
        <v>50</v>
      </c>
      <c r="BC52" s="6" t="s">
        <v>1956</v>
      </c>
      <c r="BF52" t="str">
        <f t="shared" si="3"/>
        <v/>
      </c>
    </row>
    <row r="53" spans="1:58" ht="11.25" customHeight="1" x14ac:dyDescent="0.15">
      <c r="E53" s="6"/>
      <c r="F53" s="6"/>
      <c r="G53" s="6"/>
      <c r="H53" s="6"/>
      <c r="I53" s="6"/>
      <c r="J53" s="6"/>
      <c r="K53" s="6"/>
      <c r="P53" s="6"/>
      <c r="Q53" s="6"/>
      <c r="S53" s="6"/>
      <c r="T53" s="6"/>
      <c r="AD53" s="6"/>
      <c r="AE53" s="6"/>
      <c r="AF53" s="6"/>
      <c r="AG53" s="6"/>
      <c r="AH53" s="6"/>
      <c r="AI53" s="6"/>
      <c r="AJ53" s="6"/>
      <c r="AK53" s="6"/>
      <c r="AL53" s="6"/>
      <c r="AM53" s="6"/>
      <c r="AN53" s="6"/>
      <c r="AO53" s="6"/>
      <c r="AP53" s="6"/>
      <c r="AS53" t="s">
        <v>1957</v>
      </c>
      <c r="BC53" s="6"/>
    </row>
    <row r="54" spans="1:58" ht="11.25" customHeight="1" x14ac:dyDescent="0.15">
      <c r="A54" t="s">
        <v>539</v>
      </c>
      <c r="E54" s="6"/>
      <c r="F54" s="6"/>
      <c r="G54" s="6"/>
      <c r="H54" s="6"/>
      <c r="I54" s="6"/>
      <c r="J54" s="6"/>
      <c r="K54" s="6"/>
      <c r="P54" s="6"/>
      <c r="Q54" s="6"/>
      <c r="S54" s="6"/>
      <c r="T54" s="6"/>
      <c r="AD54" s="6"/>
      <c r="AE54" s="6"/>
      <c r="AF54" s="6"/>
      <c r="AG54" s="6"/>
      <c r="AH54" s="6"/>
      <c r="AI54" s="6"/>
      <c r="AJ54" s="6"/>
      <c r="AK54" s="6"/>
      <c r="AL54" s="6"/>
      <c r="AO54" t="s">
        <v>1958</v>
      </c>
      <c r="BC54" s="6"/>
    </row>
    <row r="55" spans="1:58" ht="11.25" customHeight="1" x14ac:dyDescent="0.15">
      <c r="A55" t="s">
        <v>539</v>
      </c>
      <c r="E55" s="6"/>
      <c r="F55" s="6"/>
      <c r="G55" s="6"/>
      <c r="H55" s="6"/>
      <c r="I55" s="6"/>
      <c r="J55" s="6"/>
      <c r="K55" s="6"/>
      <c r="P55" s="6"/>
      <c r="Q55" s="6"/>
      <c r="S55" s="6"/>
      <c r="T55" s="6"/>
      <c r="AD55" s="6"/>
      <c r="AE55" s="6"/>
      <c r="AF55" s="6"/>
      <c r="AG55" s="6"/>
      <c r="AH55" s="6"/>
      <c r="AK55" t="s">
        <v>1959</v>
      </c>
      <c r="BC55" s="6"/>
    </row>
    <row r="56" spans="1:58" ht="11.25" customHeight="1" x14ac:dyDescent="0.15">
      <c r="A56" t="s">
        <v>539</v>
      </c>
      <c r="B56" t="s">
        <v>540</v>
      </c>
      <c r="C56" t="s">
        <v>541</v>
      </c>
      <c r="D56" t="s">
        <v>1970</v>
      </c>
      <c r="E56" s="6"/>
      <c r="F56" s="6"/>
      <c r="G56" s="6"/>
      <c r="H56" s="6"/>
      <c r="I56" s="6"/>
      <c r="J56" s="6"/>
      <c r="K56" s="6"/>
      <c r="P56" s="6"/>
      <c r="Q56" s="6"/>
      <c r="S56" s="6"/>
      <c r="T56" s="6"/>
      <c r="W56" t="str">
        <f>Z52&amp;"-"&amp;AB52</f>
        <v>-</v>
      </c>
      <c r="Y56" t="str">
        <f>AB52&amp;"-"&amp;AD52</f>
        <v>-да</v>
      </c>
      <c r="AD56" s="6"/>
      <c r="AG56" t="s">
        <v>1960</v>
      </c>
      <c r="AU56" t="str">
        <f>AX52&amp;"-"&amp;AZ52</f>
        <v>-</v>
      </c>
      <c r="AW56" t="str">
        <f>AZ52&amp;"-"&amp;BB52</f>
        <v>-</v>
      </c>
      <c r="BB56" t="str">
        <f>BE52&amp;"-"&amp;BG52</f>
        <v>-</v>
      </c>
      <c r="BC56" s="6"/>
      <c r="BF56" t="str">
        <f t="shared" ref="BF56:BF63" si="4">IF(T56="","",T56)</f>
        <v/>
      </c>
    </row>
    <row r="57" spans="1:58" ht="11.25" customHeight="1" x14ac:dyDescent="0.15">
      <c r="A57" t="s">
        <v>539</v>
      </c>
      <c r="B57" t="s">
        <v>540</v>
      </c>
      <c r="C57" t="s">
        <v>541</v>
      </c>
      <c r="D57" t="s">
        <v>1970</v>
      </c>
      <c r="E57" s="6"/>
      <c r="F57" s="6"/>
      <c r="G57" s="6"/>
      <c r="H57" s="6"/>
      <c r="I57" s="6"/>
      <c r="J57" s="6"/>
      <c r="P57" s="6"/>
      <c r="Q57" s="6"/>
      <c r="T57" t="s">
        <v>1801</v>
      </c>
      <c r="BC57" s="6"/>
      <c r="BF57" t="str">
        <f t="shared" si="4"/>
        <v>Добавить строку</v>
      </c>
    </row>
    <row r="58" spans="1:58" ht="0" hidden="1" customHeight="1" x14ac:dyDescent="0.15">
      <c r="A58" t="s">
        <v>539</v>
      </c>
      <c r="B58" t="s">
        <v>540</v>
      </c>
      <c r="C58" t="s">
        <v>541</v>
      </c>
      <c r="D58" t="s">
        <v>1970</v>
      </c>
      <c r="E58" s="6"/>
      <c r="F58" s="6"/>
      <c r="G58" s="6"/>
      <c r="H58" s="6"/>
      <c r="I58" s="6"/>
      <c r="P58" s="6"/>
      <c r="BF58" t="str">
        <f t="shared" si="4"/>
        <v/>
      </c>
    </row>
    <row r="59" spans="1:58" ht="0" hidden="1" customHeight="1" x14ac:dyDescent="0.15">
      <c r="A59" t="s">
        <v>539</v>
      </c>
      <c r="B59" t="s">
        <v>540</v>
      </c>
      <c r="C59" t="s">
        <v>541</v>
      </c>
      <c r="D59" t="s">
        <v>1970</v>
      </c>
      <c r="E59" s="6"/>
      <c r="F59" s="6"/>
      <c r="G59" s="6"/>
      <c r="H59" s="6"/>
      <c r="BF59" t="str">
        <f t="shared" si="4"/>
        <v/>
      </c>
    </row>
    <row r="60" spans="1:58" ht="0" hidden="1" customHeight="1" x14ac:dyDescent="0.15">
      <c r="A60" t="s">
        <v>539</v>
      </c>
      <c r="B60" t="s">
        <v>540</v>
      </c>
      <c r="C60" t="s">
        <v>541</v>
      </c>
      <c r="E60" s="6"/>
      <c r="F60" s="6"/>
      <c r="G60" s="6"/>
      <c r="BF60" t="str">
        <f t="shared" si="4"/>
        <v/>
      </c>
    </row>
    <row r="61" spans="1:58" ht="0" hidden="1" customHeight="1" x14ac:dyDescent="0.15">
      <c r="A61" t="s">
        <v>539</v>
      </c>
      <c r="B61" t="s">
        <v>540</v>
      </c>
      <c r="E61" s="6"/>
      <c r="F61" s="6"/>
      <c r="T61" t="s">
        <v>1697</v>
      </c>
      <c r="BF61" t="str">
        <f t="shared" si="4"/>
        <v>Добавить централизованную систему для дифференциации</v>
      </c>
    </row>
    <row r="62" spans="1:58" ht="0" hidden="1" customHeight="1" x14ac:dyDescent="0.15">
      <c r="A62" t="s">
        <v>539</v>
      </c>
      <c r="E62" s="6"/>
      <c r="T62" t="s">
        <v>1698</v>
      </c>
      <c r="BF62" t="str">
        <f t="shared" si="4"/>
        <v>Добавить территорию для дифференциации</v>
      </c>
    </row>
    <row r="63" spans="1:58" ht="0" hidden="1" customHeight="1" x14ac:dyDescent="0.15">
      <c r="T63" t="s">
        <v>1699</v>
      </c>
      <c r="BF63" t="str">
        <f t="shared" si="4"/>
        <v>Добавить наименование тарифа</v>
      </c>
    </row>
    <row r="64" spans="1:58" ht="11.25" hidden="1" customHeight="1" x14ac:dyDescent="0.15"/>
    <row r="65" spans="19:55" ht="18.75" hidden="1" customHeight="1" x14ac:dyDescent="0.15">
      <c r="S65" t="s">
        <v>1769</v>
      </c>
      <c r="T65" s="6" t="s">
        <v>1971</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row>
    <row r="66" spans="19:55" ht="14.25" hidden="1" customHeight="1" x14ac:dyDescent="0.15"/>
    <row r="67" spans="19:55" ht="18.75" hidden="1" customHeight="1" x14ac:dyDescent="0.15">
      <c r="S67" t="s">
        <v>1769</v>
      </c>
      <c r="T67" s="6" t="s">
        <v>1935</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X2168"/>
  <sheetViews>
    <sheetView showGridLines="0" topLeftCell="D20" zoomScale="90" workbookViewId="0">
      <selection activeCell="I43" sqref="I43"/>
    </sheetView>
  </sheetViews>
  <sheetFormatPr defaultColWidth="9.140625" defaultRowHeight="11.25" customHeight="1" x14ac:dyDescent="0.15"/>
  <cols>
    <col min="1" max="1" width="10.7109375" hidden="1" customWidth="1"/>
    <col min="2" max="2" width="16.85546875" hidden="1" customWidth="1"/>
    <col min="3" max="3" width="5.5703125" hidden="1" customWidth="1"/>
    <col min="4" max="4" width="3.7109375" customWidth="1"/>
    <col min="5" max="5" width="7.7109375" customWidth="1"/>
    <col min="6" max="6" width="54.5703125" customWidth="1"/>
    <col min="7" max="7" width="10.42578125" customWidth="1"/>
    <col min="8" max="8" width="40.7109375" hidden="1" customWidth="1"/>
    <col min="9" max="9" width="31.140625" customWidth="1"/>
    <col min="10" max="41" width="40.7109375" customWidth="1"/>
    <col min="42" max="42" width="40.7109375" hidden="1" customWidth="1"/>
    <col min="43" max="43" width="9.7109375" customWidth="1"/>
    <col min="44" max="44" width="5.28515625" customWidth="1"/>
    <col min="45" max="49" width="3.7109375" customWidth="1"/>
    <col min="50" max="50" width="10.5703125" customWidth="1"/>
    <col min="51" max="51" width="34.7109375" customWidth="1"/>
    <col min="52" max="52" width="9.42578125" customWidth="1"/>
  </cols>
  <sheetData>
    <row r="1" spans="2:42" ht="15" hidden="1" customHeight="1" x14ac:dyDescent="0.15"/>
    <row r="2" spans="2:42" ht="15" hidden="1" customHeight="1" x14ac:dyDescent="0.15">
      <c r="B2" s="6"/>
      <c r="C2" t="s">
        <v>1972</v>
      </c>
      <c r="E2">
        <f>B2</f>
        <v>0</v>
      </c>
      <c r="G2" t="s">
        <v>1692</v>
      </c>
      <c r="H2" t="s">
        <v>1692</v>
      </c>
      <c r="I2" t="s">
        <v>1692</v>
      </c>
      <c r="J2" t="s">
        <v>1692</v>
      </c>
      <c r="K2" t="s">
        <v>1692</v>
      </c>
      <c r="L2" t="s">
        <v>1692</v>
      </c>
      <c r="M2" t="s">
        <v>1692</v>
      </c>
      <c r="N2" t="s">
        <v>1692</v>
      </c>
      <c r="O2" t="s">
        <v>1692</v>
      </c>
      <c r="P2" t="s">
        <v>1692</v>
      </c>
      <c r="Q2" t="s">
        <v>1692</v>
      </c>
      <c r="R2" t="s">
        <v>1692</v>
      </c>
      <c r="S2" t="s">
        <v>1692</v>
      </c>
      <c r="T2" t="s">
        <v>1692</v>
      </c>
      <c r="U2" t="s">
        <v>1692</v>
      </c>
      <c r="V2" t="s">
        <v>1692</v>
      </c>
      <c r="W2" t="s">
        <v>1692</v>
      </c>
      <c r="X2" t="s">
        <v>1692</v>
      </c>
      <c r="Y2" t="s">
        <v>1692</v>
      </c>
      <c r="Z2" t="s">
        <v>1692</v>
      </c>
      <c r="AA2" t="s">
        <v>1692</v>
      </c>
      <c r="AB2" t="s">
        <v>1692</v>
      </c>
      <c r="AC2" t="s">
        <v>1692</v>
      </c>
      <c r="AD2" t="s">
        <v>1692</v>
      </c>
      <c r="AE2" t="s">
        <v>1692</v>
      </c>
      <c r="AF2" t="s">
        <v>1692</v>
      </c>
      <c r="AG2" t="s">
        <v>1692</v>
      </c>
      <c r="AH2" t="s">
        <v>1692</v>
      </c>
      <c r="AI2" t="s">
        <v>1692</v>
      </c>
      <c r="AJ2" t="s">
        <v>1692</v>
      </c>
      <c r="AK2" t="s">
        <v>1692</v>
      </c>
      <c r="AL2" t="s">
        <v>1692</v>
      </c>
      <c r="AM2" t="s">
        <v>1692</v>
      </c>
      <c r="AN2" t="s">
        <v>1692</v>
      </c>
      <c r="AO2" t="s">
        <v>1692</v>
      </c>
      <c r="AP2" t="s">
        <v>1692</v>
      </c>
    </row>
    <row r="3" spans="2:42" ht="15" hidden="1" customHeight="1" x14ac:dyDescent="0.15">
      <c r="B3" s="6"/>
      <c r="F3" t="s">
        <v>1973</v>
      </c>
      <c r="H3">
        <f>H4*H5+H7</f>
        <v>0</v>
      </c>
      <c r="I3">
        <f>I4*I5+I6</f>
        <v>0</v>
      </c>
      <c r="J3">
        <f t="shared" ref="J3:AP3" si="0">J4*J5+J7</f>
        <v>0</v>
      </c>
      <c r="K3">
        <f t="shared" si="0"/>
        <v>0</v>
      </c>
      <c r="L3">
        <f t="shared" si="0"/>
        <v>0</v>
      </c>
      <c r="M3">
        <f t="shared" si="0"/>
        <v>0</v>
      </c>
      <c r="N3">
        <f t="shared" si="0"/>
        <v>0</v>
      </c>
      <c r="O3">
        <f t="shared" si="0"/>
        <v>0</v>
      </c>
      <c r="P3">
        <f t="shared" si="0"/>
        <v>0</v>
      </c>
      <c r="Q3">
        <f t="shared" si="0"/>
        <v>0</v>
      </c>
      <c r="R3">
        <f t="shared" si="0"/>
        <v>0</v>
      </c>
      <c r="S3">
        <f t="shared" si="0"/>
        <v>0</v>
      </c>
      <c r="T3">
        <f t="shared" si="0"/>
        <v>0</v>
      </c>
      <c r="U3">
        <f t="shared" si="0"/>
        <v>0</v>
      </c>
      <c r="V3">
        <f t="shared" si="0"/>
        <v>0</v>
      </c>
      <c r="W3">
        <f t="shared" si="0"/>
        <v>0</v>
      </c>
      <c r="X3">
        <f t="shared" si="0"/>
        <v>0</v>
      </c>
      <c r="Y3">
        <f t="shared" si="0"/>
        <v>0</v>
      </c>
      <c r="Z3">
        <f t="shared" si="0"/>
        <v>0</v>
      </c>
      <c r="AA3">
        <f t="shared" si="0"/>
        <v>0</v>
      </c>
      <c r="AB3">
        <f t="shared" si="0"/>
        <v>0</v>
      </c>
      <c r="AC3">
        <f t="shared" si="0"/>
        <v>0</v>
      </c>
      <c r="AD3">
        <f t="shared" si="0"/>
        <v>0</v>
      </c>
      <c r="AE3">
        <f t="shared" si="0"/>
        <v>0</v>
      </c>
      <c r="AF3">
        <f t="shared" si="0"/>
        <v>0</v>
      </c>
      <c r="AG3">
        <f t="shared" si="0"/>
        <v>0</v>
      </c>
      <c r="AH3">
        <f t="shared" si="0"/>
        <v>0</v>
      </c>
      <c r="AI3">
        <f t="shared" si="0"/>
        <v>0</v>
      </c>
      <c r="AJ3">
        <f t="shared" si="0"/>
        <v>0</v>
      </c>
      <c r="AK3">
        <f t="shared" si="0"/>
        <v>0</v>
      </c>
      <c r="AL3">
        <f t="shared" si="0"/>
        <v>0</v>
      </c>
      <c r="AM3">
        <f t="shared" si="0"/>
        <v>0</v>
      </c>
      <c r="AN3">
        <f t="shared" si="0"/>
        <v>0</v>
      </c>
      <c r="AO3">
        <f t="shared" si="0"/>
        <v>0</v>
      </c>
      <c r="AP3">
        <f t="shared" si="0"/>
        <v>0</v>
      </c>
    </row>
    <row r="4" spans="2:42" ht="15" hidden="1" customHeight="1" x14ac:dyDescent="0.15">
      <c r="B4" s="6"/>
      <c r="E4" t="str">
        <f>B2&amp;".1"</f>
        <v>.1</v>
      </c>
      <c r="F4" t="s">
        <v>1974</v>
      </c>
    </row>
    <row r="5" spans="2:42" ht="15" hidden="1" customHeight="1" x14ac:dyDescent="0.15">
      <c r="B5" s="6"/>
      <c r="E5" t="str">
        <f>B2&amp;".2"</f>
        <v>.2</v>
      </c>
      <c r="F5" t="s">
        <v>1975</v>
      </c>
      <c r="G5" t="s">
        <v>1976</v>
      </c>
    </row>
    <row r="6" spans="2:42" ht="15" hidden="1" customHeight="1" x14ac:dyDescent="0.15">
      <c r="B6" s="6"/>
      <c r="E6" t="str">
        <f>B2&amp;".3"</f>
        <v>.3</v>
      </c>
      <c r="F6" t="s">
        <v>1977</v>
      </c>
      <c r="G6" t="s">
        <v>1976</v>
      </c>
    </row>
    <row r="7" spans="2:42" ht="15" hidden="1" customHeight="1" x14ac:dyDescent="0.15">
      <c r="B7" s="6"/>
      <c r="E7" t="str">
        <f>B2&amp;".4"</f>
        <v>.4</v>
      </c>
      <c r="F7" t="s">
        <v>1978</v>
      </c>
      <c r="G7" t="s">
        <v>1692</v>
      </c>
    </row>
    <row r="8" spans="2:42" ht="15" hidden="1" customHeight="1" x14ac:dyDescent="0.15">
      <c r="H8">
        <v>4</v>
      </c>
      <c r="I8">
        <v>4</v>
      </c>
      <c r="J8">
        <v>4</v>
      </c>
      <c r="K8">
        <v>4</v>
      </c>
      <c r="L8">
        <v>4</v>
      </c>
      <c r="M8">
        <v>4</v>
      </c>
      <c r="N8">
        <v>4</v>
      </c>
      <c r="O8">
        <v>4</v>
      </c>
      <c r="P8">
        <v>4</v>
      </c>
      <c r="Q8">
        <v>4</v>
      </c>
      <c r="R8">
        <v>4</v>
      </c>
      <c r="S8">
        <v>4</v>
      </c>
      <c r="T8">
        <v>4</v>
      </c>
      <c r="U8">
        <v>4</v>
      </c>
      <c r="V8">
        <v>4</v>
      </c>
      <c r="W8">
        <v>4</v>
      </c>
      <c r="X8">
        <v>4</v>
      </c>
      <c r="Y8">
        <v>4</v>
      </c>
      <c r="Z8">
        <v>4</v>
      </c>
      <c r="AA8">
        <v>4</v>
      </c>
      <c r="AB8">
        <v>4</v>
      </c>
      <c r="AC8">
        <v>4</v>
      </c>
      <c r="AD8">
        <v>4</v>
      </c>
      <c r="AE8">
        <v>4</v>
      </c>
      <c r="AF8">
        <v>4</v>
      </c>
      <c r="AG8">
        <v>4</v>
      </c>
      <c r="AH8">
        <v>4</v>
      </c>
      <c r="AI8">
        <v>4</v>
      </c>
      <c r="AJ8">
        <v>4</v>
      </c>
      <c r="AK8">
        <v>4</v>
      </c>
      <c r="AL8">
        <v>4</v>
      </c>
      <c r="AM8">
        <v>4</v>
      </c>
      <c r="AN8">
        <v>4</v>
      </c>
      <c r="AO8">
        <v>4</v>
      </c>
      <c r="AP8">
        <v>4</v>
      </c>
    </row>
    <row r="9" spans="2:42" ht="15" hidden="1" customHeight="1" x14ac:dyDescent="0.15">
      <c r="G9" t="s">
        <v>1976</v>
      </c>
    </row>
    <row r="10" spans="2:42" ht="15" hidden="1" customHeight="1" x14ac:dyDescent="0.15"/>
    <row r="11" spans="2:42" ht="15" hidden="1" customHeight="1" x14ac:dyDescent="0.15">
      <c r="G11" t="s">
        <v>1088</v>
      </c>
    </row>
    <row r="12" spans="2:42" ht="15" hidden="1" customHeight="1" x14ac:dyDescent="0.15"/>
    <row r="13" spans="2:42" ht="15" hidden="1" customHeight="1" x14ac:dyDescent="0.15">
      <c r="G13" t="s">
        <v>1878</v>
      </c>
    </row>
    <row r="14" spans="2:42" ht="15" hidden="1" customHeight="1" x14ac:dyDescent="0.15"/>
    <row r="15" spans="2:42" ht="15" hidden="1" customHeight="1" x14ac:dyDescent="0.15">
      <c r="G15" t="s">
        <v>1979</v>
      </c>
    </row>
    <row r="16" spans="2:42" ht="15" hidden="1" customHeight="1" x14ac:dyDescent="0.15"/>
    <row r="17" spans="5:50" ht="15" hidden="1" customHeight="1" x14ac:dyDescent="0.15">
      <c r="G17" t="s">
        <v>1980</v>
      </c>
    </row>
    <row r="18" spans="5:50" ht="15" hidden="1" customHeight="1" x14ac:dyDescent="0.15"/>
    <row r="19" spans="5:50" ht="15" hidden="1" customHeight="1" x14ac:dyDescent="0.15"/>
    <row r="20" spans="5:50" ht="15" customHeight="1" x14ac:dyDescent="0.15"/>
    <row r="21" spans="5:50" ht="31.5" customHeight="1" x14ac:dyDescent="0.15">
      <c r="E21" s="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5"/>
      <c r="G21" s="5"/>
      <c r="H21" s="5"/>
      <c r="I21" s="5"/>
    </row>
    <row r="22" spans="5:50" ht="15" customHeight="1" x14ac:dyDescent="0.15">
      <c r="E22" s="5" t="str">
        <f>IF(org=0,"Не определено",org)</f>
        <v>КГУП "Примтеплоэнерго"</v>
      </c>
      <c r="F22" s="5"/>
      <c r="G22" s="5"/>
      <c r="H22" s="5"/>
      <c r="I22" s="5"/>
    </row>
    <row r="23" spans="5:50" ht="15" customHeight="1" x14ac:dyDescent="0.15"/>
    <row r="24" spans="5:50" ht="15" customHeight="1" x14ac:dyDescent="0.15">
      <c r="E24" s="1"/>
      <c r="F24" s="1"/>
      <c r="G24" s="1"/>
      <c r="H24" s="1"/>
      <c r="I24" s="1" t="s">
        <v>364</v>
      </c>
      <c r="J24" s="1" t="s">
        <v>368</v>
      </c>
      <c r="K24" s="1" t="s">
        <v>370</v>
      </c>
      <c r="L24" s="1" t="s">
        <v>372</v>
      </c>
      <c r="M24" s="1" t="s">
        <v>374</v>
      </c>
      <c r="N24" s="1" t="s">
        <v>376</v>
      </c>
      <c r="O24" s="1" t="s">
        <v>378</v>
      </c>
      <c r="P24" s="1" t="s">
        <v>380</v>
      </c>
      <c r="Q24" s="1" t="s">
        <v>382</v>
      </c>
      <c r="R24" s="1" t="s">
        <v>384</v>
      </c>
      <c r="S24" s="1" t="s">
        <v>386</v>
      </c>
      <c r="T24" s="1" t="s">
        <v>388</v>
      </c>
      <c r="U24" s="1" t="s">
        <v>390</v>
      </c>
      <c r="V24" s="1" t="s">
        <v>402</v>
      </c>
      <c r="W24" s="1" t="s">
        <v>427</v>
      </c>
      <c r="X24" s="1" t="s">
        <v>404</v>
      </c>
      <c r="Y24" s="1" t="s">
        <v>406</v>
      </c>
      <c r="Z24" s="1" t="s">
        <v>408</v>
      </c>
      <c r="AA24" s="1" t="s">
        <v>410</v>
      </c>
      <c r="AB24" s="1" t="s">
        <v>412</v>
      </c>
      <c r="AC24" s="1" t="s">
        <v>413</v>
      </c>
      <c r="AD24" s="1" t="s">
        <v>415</v>
      </c>
      <c r="AE24" s="1" t="s">
        <v>416</v>
      </c>
      <c r="AF24" s="1" t="s">
        <v>418</v>
      </c>
      <c r="AG24" s="1" t="s">
        <v>419</v>
      </c>
      <c r="AH24" s="1" t="s">
        <v>392</v>
      </c>
      <c r="AI24" s="1" t="s">
        <v>394</v>
      </c>
      <c r="AJ24" s="1" t="s">
        <v>396</v>
      </c>
      <c r="AK24" s="1" t="s">
        <v>398</v>
      </c>
      <c r="AL24" s="1" t="s">
        <v>420</v>
      </c>
      <c r="AM24" s="1" t="s">
        <v>421</v>
      </c>
      <c r="AN24" s="1" t="s">
        <v>423</v>
      </c>
      <c r="AO24" s="1" t="s">
        <v>425</v>
      </c>
      <c r="AP24" s="1"/>
      <c r="AQ24" s="1"/>
      <c r="AR24" s="1"/>
      <c r="AS24" s="1"/>
      <c r="AT24" s="1"/>
      <c r="AU24" s="1"/>
      <c r="AV24" s="1"/>
      <c r="AW24" s="1"/>
      <c r="AX24" s="1"/>
    </row>
    <row r="25" spans="5:50" ht="15" customHeight="1" x14ac:dyDescent="0.15">
      <c r="E25" s="1"/>
      <c r="F25" s="5" t="s">
        <v>355</v>
      </c>
      <c r="G25" s="5"/>
      <c r="H25" s="1" t="str">
        <f t="shared" ref="H25:AP25" si="1">IF(H24="","",INDEX(DIFFERENTIATION_UNMERGE_VD,MATCH(H24,DIFFERENTIATION_ID_DIFF,0)))</f>
        <v/>
      </c>
      <c r="I25" s="1" t="str">
        <f t="shared" si="1"/>
        <v>Производство тепловой энергии. Некомбинированная выработка</v>
      </c>
      <c r="J25" s="1" t="str">
        <f t="shared" si="1"/>
        <v>Производство тепловой энергии. Некомбинированная выработка</v>
      </c>
      <c r="K25" s="1" t="str">
        <f t="shared" si="1"/>
        <v>Производство тепловой энергии. Некомбинированная выработка</v>
      </c>
      <c r="L25" s="1" t="str">
        <f t="shared" si="1"/>
        <v>Производство тепловой энергии. Некомбинированная выработка</v>
      </c>
      <c r="M25" s="1" t="str">
        <f t="shared" si="1"/>
        <v>Производство тепловой энергии. Некомбинированная выработка</v>
      </c>
      <c r="N25" s="1" t="str">
        <f t="shared" si="1"/>
        <v>Производство тепловой энергии. Некомбинированная выработка</v>
      </c>
      <c r="O25" s="1" t="str">
        <f t="shared" si="1"/>
        <v>Производство тепловой энергии. Некомбинированная выработка</v>
      </c>
      <c r="P25" s="1" t="str">
        <f t="shared" si="1"/>
        <v>Производство тепловой энергии. Некомбинированная выработка</v>
      </c>
      <c r="Q25" s="1" t="str">
        <f t="shared" si="1"/>
        <v>Производство тепловой энергии. Некомбинированная выработка</v>
      </c>
      <c r="R25" s="1" t="str">
        <f t="shared" si="1"/>
        <v>Производство тепловой энергии. Некомбинированная выработка</v>
      </c>
      <c r="S25" s="1" t="str">
        <f t="shared" si="1"/>
        <v>Производство тепловой энергии. Некомбинированная выработка</v>
      </c>
      <c r="T25" s="1" t="str">
        <f t="shared" si="1"/>
        <v>Производство тепловой энергии. Некомбинированная выработка</v>
      </c>
      <c r="U25" s="1" t="str">
        <f t="shared" si="1"/>
        <v>Производство тепловой энергии. Некомбинированная выработка</v>
      </c>
      <c r="V25" s="1" t="str">
        <f t="shared" si="1"/>
        <v>Подключение (технологическое присоединение) к системе теплоснабжения</v>
      </c>
      <c r="W25" s="1" t="str">
        <f t="shared" si="1"/>
        <v>Передача. Тепловая энергия</v>
      </c>
      <c r="X25" s="1" t="str">
        <f t="shared" si="1"/>
        <v>Подключение (технологическое присоединение) к системе теплоснабжения</v>
      </c>
      <c r="Y25" s="1" t="str">
        <f t="shared" si="1"/>
        <v>Подключение (технологическое присоединение) к системе теплоснабжения</v>
      </c>
      <c r="Z25" s="1" t="str">
        <f t="shared" si="1"/>
        <v>Подключение (технологическое присоединение) к системе теплоснабжения</v>
      </c>
      <c r="AA25" s="1" t="str">
        <f t="shared" si="1"/>
        <v>Подключение (технологическое присоединение) к системе теплоснабжения</v>
      </c>
      <c r="AB25" s="1" t="str">
        <f t="shared" si="1"/>
        <v>Подключение (технологическое присоединение) к системе теплоснабжения</v>
      </c>
      <c r="AC25" s="1" t="str">
        <f t="shared" si="1"/>
        <v>Подключение (технологическое присоединение) к системе теплоснабжения</v>
      </c>
      <c r="AD25" s="1" t="str">
        <f t="shared" si="1"/>
        <v>Подключение (технологическое присоединение) к системе теплоснабжения</v>
      </c>
      <c r="AE25" s="1" t="str">
        <f t="shared" si="1"/>
        <v>Подключение (технологическое присоединение) к системе теплоснабжения</v>
      </c>
      <c r="AF25" s="1" t="str">
        <f t="shared" si="1"/>
        <v>Подключение (технологическое присоединение) к системе теплоснабжения</v>
      </c>
      <c r="AG25" s="1" t="str">
        <f t="shared" si="1"/>
        <v>Подключение (технологическое присоединение) к системе теплоснабжения</v>
      </c>
      <c r="AH25" s="1" t="str">
        <f t="shared" si="1"/>
        <v>Производство тепловой энергии. Некомбинированная выработка</v>
      </c>
      <c r="AI25" s="1" t="str">
        <f t="shared" si="1"/>
        <v>Производство тепловой энергии. Некомбинированная выработка</v>
      </c>
      <c r="AJ25" s="1" t="str">
        <f t="shared" si="1"/>
        <v>Производство тепловой энергии. Некомбинированная выработка</v>
      </c>
      <c r="AK25" s="1" t="str">
        <f t="shared" si="1"/>
        <v>Производство тепловой энергии. Некомбинированная выработка</v>
      </c>
      <c r="AL25" s="1" t="str">
        <f t="shared" si="1"/>
        <v>Подключение (технологическое присоединение) к системе теплоснабжения</v>
      </c>
      <c r="AM25" s="1" t="str">
        <f t="shared" si="1"/>
        <v>Подключение (технологическое присоединение) к системе теплоснабжения</v>
      </c>
      <c r="AN25" s="1" t="str">
        <f t="shared" si="1"/>
        <v>Подключение (технологическое присоединение) к системе теплоснабжения</v>
      </c>
      <c r="AO25" s="1" t="str">
        <f t="shared" si="1"/>
        <v>Подключение (технологическое присоединение) к системе теплоснабжения</v>
      </c>
      <c r="AP25" s="1" t="str">
        <f t="shared" si="1"/>
        <v/>
      </c>
      <c r="AQ25" s="1"/>
      <c r="AR25" s="1"/>
      <c r="AS25" s="1"/>
      <c r="AT25" s="1"/>
      <c r="AU25" s="1"/>
      <c r="AV25" s="1"/>
      <c r="AW25" s="1"/>
      <c r="AX25" s="1"/>
    </row>
    <row r="26" spans="5:50" ht="15" customHeight="1" x14ac:dyDescent="0.15">
      <c r="E26" s="1"/>
      <c r="F26" s="5" t="s">
        <v>1680</v>
      </c>
      <c r="G26" s="5"/>
      <c r="H26" s="1" t="str">
        <f t="shared" ref="H26:AP26" si="2">IF(H24="","",INDEX(DIFFERENTIATION_UNMERGE_AREA,MATCH(H24,DIFFERENTIATION_ID_DIFF,0)))</f>
        <v/>
      </c>
      <c r="I26" s="1" t="str">
        <f t="shared" si="2"/>
        <v>без дифференциации</v>
      </c>
      <c r="J26" s="1" t="str">
        <f t="shared" si="2"/>
        <v>без дифференциации</v>
      </c>
      <c r="K26" s="1" t="str">
        <f t="shared" si="2"/>
        <v>без дифференциации</v>
      </c>
      <c r="L26" s="1" t="str">
        <f t="shared" si="2"/>
        <v>без дифференциации</v>
      </c>
      <c r="M26" s="1" t="str">
        <f t="shared" si="2"/>
        <v>без дифференциации</v>
      </c>
      <c r="N26" s="1" t="str">
        <f t="shared" si="2"/>
        <v>без дифференциации</v>
      </c>
      <c r="O26" s="1" t="str">
        <f t="shared" si="2"/>
        <v>без дифференциации</v>
      </c>
      <c r="P26" s="1" t="str">
        <f t="shared" si="2"/>
        <v>без дифференциации</v>
      </c>
      <c r="Q26" s="1" t="str">
        <f t="shared" si="2"/>
        <v>без дифференциации</v>
      </c>
      <c r="R26" s="1" t="str">
        <f t="shared" si="2"/>
        <v>без дифференциации</v>
      </c>
      <c r="S26" s="1" t="str">
        <f t="shared" si="2"/>
        <v>без дифференциации</v>
      </c>
      <c r="T26" s="1" t="str">
        <f t="shared" si="2"/>
        <v>без дифференциации</v>
      </c>
      <c r="U26" s="1" t="str">
        <f t="shared" si="2"/>
        <v>без дифференциации</v>
      </c>
      <c r="V26" s="1" t="str">
        <f t="shared" si="2"/>
        <v>Территория 33</v>
      </c>
      <c r="W26" s="1" t="str">
        <f t="shared" si="2"/>
        <v>Территория 1</v>
      </c>
      <c r="X26" s="1" t="str">
        <f t="shared" si="2"/>
        <v>Территория 25</v>
      </c>
      <c r="Y26" s="1" t="str">
        <f t="shared" si="2"/>
        <v>Территория 10</v>
      </c>
      <c r="Z26" s="1" t="str">
        <f t="shared" si="2"/>
        <v>Территория 9</v>
      </c>
      <c r="AA26" s="1" t="str">
        <f t="shared" si="2"/>
        <v>Территория 4</v>
      </c>
      <c r="AB26" s="1" t="str">
        <f t="shared" si="2"/>
        <v>Территория 21</v>
      </c>
      <c r="AC26" s="1" t="str">
        <f t="shared" si="2"/>
        <v>Территория 16</v>
      </c>
      <c r="AD26" s="1" t="str">
        <f t="shared" si="2"/>
        <v>Территория 22</v>
      </c>
      <c r="AE26" s="1" t="str">
        <f t="shared" si="2"/>
        <v>Территория 7</v>
      </c>
      <c r="AF26" s="1" t="str">
        <f t="shared" si="2"/>
        <v>Территория 15</v>
      </c>
      <c r="AG26" s="1" t="str">
        <f t="shared" si="2"/>
        <v>Территория 32</v>
      </c>
      <c r="AH26" s="1" t="str">
        <f t="shared" si="2"/>
        <v>без дифференциации</v>
      </c>
      <c r="AI26" s="1" t="str">
        <f t="shared" si="2"/>
        <v>без дифференциации</v>
      </c>
      <c r="AJ26" s="1" t="str">
        <f t="shared" si="2"/>
        <v>без дифференциации</v>
      </c>
      <c r="AK26" s="1" t="str">
        <f t="shared" si="2"/>
        <v>без дифференциации</v>
      </c>
      <c r="AL26" s="1" t="str">
        <f t="shared" si="2"/>
        <v>Территория 1</v>
      </c>
      <c r="AM26" s="1" t="str">
        <f t="shared" si="2"/>
        <v>Территория 17</v>
      </c>
      <c r="AN26" s="1" t="str">
        <f t="shared" si="2"/>
        <v>Территория 23</v>
      </c>
      <c r="AO26" s="1" t="str">
        <f t="shared" si="2"/>
        <v>Территория 23</v>
      </c>
      <c r="AP26" s="1" t="str">
        <f t="shared" si="2"/>
        <v/>
      </c>
      <c r="AQ26" s="1"/>
      <c r="AR26" s="1"/>
      <c r="AS26" s="1"/>
      <c r="AT26" s="1"/>
      <c r="AU26" s="1"/>
      <c r="AV26" s="1"/>
      <c r="AW26" s="1"/>
      <c r="AX26" s="1"/>
    </row>
    <row r="27" spans="5:50" ht="47.25" customHeight="1" x14ac:dyDescent="0.15">
      <c r="E27" s="1"/>
      <c r="F27" s="5" t="s">
        <v>1681</v>
      </c>
      <c r="G27" s="5"/>
      <c r="H27" s="1" t="str">
        <f t="shared" ref="H27:AP27" si="3">IF(H24="","",INDEX(DIFFERENTIATION_UNMERGE_SYSTEM,MATCH(H24,DIFFERENTIATION_ID_DIFF,0)))</f>
        <v/>
      </c>
      <c r="I27" s="1" t="str">
        <f t="shared" si="3"/>
        <v>Единый тариф на тепловую энергию по Приморскому краю</v>
      </c>
      <c r="J27" s="1" t="str">
        <f t="shared" si="3"/>
        <v>Тариф на тепловую энергию по Арсеньевскому ГО</v>
      </c>
      <c r="K27" s="1" t="str">
        <f t="shared" si="3"/>
        <v xml:space="preserve">Тариф на тепловую энергию по городскому округгу Большой Камень
</v>
      </c>
      <c r="L27" s="1" t="str">
        <f t="shared" si="3"/>
        <v>ГВС-открытая система на территории Артемовский городской округ, Артемовский городской округ (05705000)</v>
      </c>
      <c r="M27" s="1" t="str">
        <f t="shared" si="3"/>
        <v>ГВС-открытая система на территории Дальнегорский городской округ, Дальнегорский городской округ (05707000);</v>
      </c>
      <c r="N27" s="1" t="str">
        <f t="shared" si="3"/>
        <v xml:space="preserve">ГВС-открытая система на территории Кавалеровский муниципальный район, Кавалеровский муниципальный район (05610000); </v>
      </c>
      <c r="O27" s="1" t="str">
        <f t="shared" si="3"/>
        <v xml:space="preserve">ГВС-открытая система на территории Кировский муниципальный район, Горноключевское гороское поселение (05612154); </v>
      </c>
      <c r="P27" s="1" t="str">
        <f t="shared" si="3"/>
        <v xml:space="preserve">ГВС-открытая система на территории Михайловский муниципальный район, Новошахтинское городское поселение (05620154); </v>
      </c>
      <c r="Q27" s="1" t="str">
        <f t="shared" si="3"/>
        <v xml:space="preserve">ГВС-открытая система на территории Пожарский муниципальный район, Губеровское сельское поселение (05634407); </v>
      </c>
      <c r="R27" s="1" t="str">
        <f t="shared" si="3"/>
        <v xml:space="preserve">ГВС-открытая система на территории Пожарский муниципальный район, Нагорненское сельское поселение (05634418); </v>
      </c>
      <c r="S27" s="1" t="str">
        <f t="shared" si="3"/>
        <v xml:space="preserve">ГВС-открытая система на территории Хасанский муниципальный район, Зарубинское городское поселение (05648153); </v>
      </c>
      <c r="T27" s="1" t="str">
        <f t="shared" si="3"/>
        <v xml:space="preserve">ГВС-открытая система на территории Хасанский муниципальный район, Славянское городское поселение (05648151); </v>
      </c>
      <c r="U27" s="1" t="str">
        <f t="shared" si="3"/>
        <v xml:space="preserve">ГВС-открытая система на территории Хорольский муниципальный район, Ярославское городское поселение (05650156); </v>
      </c>
      <c r="V27" s="1" t="str">
        <f t="shared" si="3"/>
        <v>Городской округ Большой Камень</v>
      </c>
      <c r="W27" s="1" t="str">
        <f t="shared" si="3"/>
        <v xml:space="preserve">Лесозаводский городской округ, Лесозаводский городской округ (05711000);
</v>
      </c>
      <c r="X27" s="1" t="str">
        <f t="shared" si="3"/>
        <v>Черниговский муниципальный район</v>
      </c>
      <c r="Y27" s="1" t="str">
        <f t="shared" si="3"/>
        <v>Спасское МО</v>
      </c>
      <c r="Z27" s="1" t="str">
        <f t="shared" si="3"/>
        <v>Городской округ Спасск Дальний</v>
      </c>
      <c r="AA27" s="1" t="str">
        <f t="shared" si="3"/>
        <v>Дальнереченский  городской округ</v>
      </c>
      <c r="AB27" s="1" t="str">
        <f t="shared" si="3"/>
        <v>Пожарский муниципальное образование</v>
      </c>
      <c r="AC27" s="1" t="str">
        <f t="shared" si="3"/>
        <v>Михайловский муниципальный район</v>
      </c>
      <c r="AD27" s="1" t="str">
        <f t="shared" si="3"/>
        <v>Ханкайский муниципальный район</v>
      </c>
      <c r="AE27" s="1" t="str">
        <f t="shared" si="3"/>
        <v>Находкинский городской округ</v>
      </c>
      <c r="AF27" s="1" t="str">
        <f t="shared" si="3"/>
        <v>Лазовский МО</v>
      </c>
      <c r="AG27" s="1" t="str">
        <f t="shared" si="3"/>
        <v>Арсеньевский городской округ</v>
      </c>
      <c r="AH27" s="1" t="str">
        <f t="shared" si="3"/>
        <v xml:space="preserve">ГВС-открытая система на территории Шкотовский муниципальный район, Штыковское сельское поселение (05657432); </v>
      </c>
      <c r="AI27" s="1" t="str">
        <f t="shared" si="3"/>
        <v>ГВС-открытая система на территории Владивостокского городского округа (05701000).</v>
      </c>
      <c r="AJ27" s="1" t="str">
        <f t="shared" si="3"/>
        <v xml:space="preserve">ГВС-открытая система на территории Арсеньевский городской округ, (05703000);
</v>
      </c>
      <c r="AK27" s="1" t="str">
        <f t="shared" si="3"/>
        <v xml:space="preserve">ГВС-открытая система на территории городской округ Большой Камень, (05706000);
</v>
      </c>
      <c r="AL27" s="1" t="str">
        <f t="shared" si="3"/>
        <v>Артемовский городской округ</v>
      </c>
      <c r="AM27" s="1" t="str">
        <f t="shared" si="3"/>
        <v>Надеждинский муниципальный район</v>
      </c>
      <c r="AN27" s="1" t="str">
        <f t="shared" si="3"/>
        <v>Приморское городское поселение</v>
      </c>
      <c r="AO27" s="1" t="str">
        <f t="shared" si="3"/>
        <v xml:space="preserve">Безверховское сельское поселение </v>
      </c>
      <c r="AP27" s="1" t="str">
        <f t="shared" si="3"/>
        <v/>
      </c>
      <c r="AQ27" s="1"/>
      <c r="AR27" s="1"/>
      <c r="AS27" s="1"/>
      <c r="AT27" s="1"/>
      <c r="AU27" s="1"/>
      <c r="AV27" s="1"/>
      <c r="AW27" s="1"/>
      <c r="AX27" s="1"/>
    </row>
    <row r="28" spans="5:50" ht="15" customHeight="1" x14ac:dyDescent="0.15">
      <c r="E28" s="5" t="s">
        <v>593</v>
      </c>
      <c r="F28" s="5"/>
      <c r="G28" s="5"/>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5:50" ht="15" customHeight="1" x14ac:dyDescent="0.15">
      <c r="E29" s="1" t="s">
        <v>75</v>
      </c>
      <c r="F29" s="1" t="s">
        <v>595</v>
      </c>
      <c r="G29" s="1" t="s">
        <v>1859</v>
      </c>
      <c r="H29" s="1" t="s">
        <v>596</v>
      </c>
      <c r="I29" s="1" t="s">
        <v>596</v>
      </c>
      <c r="J29" s="1" t="s">
        <v>596</v>
      </c>
      <c r="K29" s="1" t="s">
        <v>596</v>
      </c>
      <c r="L29" s="1" t="s">
        <v>596</v>
      </c>
      <c r="M29" s="1" t="s">
        <v>596</v>
      </c>
      <c r="N29" s="1" t="s">
        <v>596</v>
      </c>
      <c r="O29" s="1" t="s">
        <v>596</v>
      </c>
      <c r="P29" s="1" t="s">
        <v>596</v>
      </c>
      <c r="Q29" s="1" t="s">
        <v>596</v>
      </c>
      <c r="R29" s="1" t="s">
        <v>596</v>
      </c>
      <c r="S29" s="1" t="s">
        <v>596</v>
      </c>
      <c r="T29" s="1" t="s">
        <v>596</v>
      </c>
      <c r="U29" s="1" t="s">
        <v>596</v>
      </c>
      <c r="V29" s="1" t="s">
        <v>596</v>
      </c>
      <c r="W29" s="1" t="s">
        <v>596</v>
      </c>
      <c r="X29" s="1" t="s">
        <v>596</v>
      </c>
      <c r="Y29" s="1" t="s">
        <v>596</v>
      </c>
      <c r="Z29" s="1" t="s">
        <v>596</v>
      </c>
      <c r="AA29" s="1" t="s">
        <v>596</v>
      </c>
      <c r="AB29" s="1" t="s">
        <v>596</v>
      </c>
      <c r="AC29" s="1" t="s">
        <v>596</v>
      </c>
      <c r="AD29" s="1" t="s">
        <v>596</v>
      </c>
      <c r="AE29" s="1" t="s">
        <v>596</v>
      </c>
      <c r="AF29" s="1" t="s">
        <v>596</v>
      </c>
      <c r="AG29" s="1" t="s">
        <v>596</v>
      </c>
      <c r="AH29" s="1" t="s">
        <v>596</v>
      </c>
      <c r="AI29" s="1" t="s">
        <v>596</v>
      </c>
      <c r="AJ29" s="1" t="s">
        <v>596</v>
      </c>
      <c r="AK29" s="1" t="s">
        <v>596</v>
      </c>
      <c r="AL29" s="1" t="s">
        <v>596</v>
      </c>
      <c r="AM29" s="1" t="s">
        <v>596</v>
      </c>
      <c r="AN29" s="1" t="s">
        <v>596</v>
      </c>
      <c r="AO29" s="1" t="s">
        <v>596</v>
      </c>
      <c r="AP29" s="1" t="s">
        <v>596</v>
      </c>
      <c r="AQ29" s="1"/>
      <c r="AR29" s="1"/>
      <c r="AS29" s="1"/>
      <c r="AT29" s="1"/>
      <c r="AU29" s="1"/>
      <c r="AV29" s="1"/>
      <c r="AW29" s="1"/>
      <c r="AX29" s="1"/>
    </row>
    <row r="30" spans="5:50" ht="21" customHeight="1" x14ac:dyDescent="0.15">
      <c r="E30" s="1">
        <f>FHD_NUM_P_1</f>
        <v>1</v>
      </c>
      <c r="F30" s="1" t="str">
        <f>FHD_P_1</f>
        <v>Выручка от регулируемого вида деятельности с распределением по видам деятельности</v>
      </c>
      <c r="G30" s="1" t="s">
        <v>1976</v>
      </c>
      <c r="H30" s="1"/>
      <c r="I30" s="1">
        <v>6692500.6917000003</v>
      </c>
      <c r="J30" s="1">
        <v>818698.60071000003</v>
      </c>
      <c r="K30" s="1">
        <v>467987.14860000001</v>
      </c>
      <c r="L30" s="1">
        <v>277.61111</v>
      </c>
      <c r="M30" s="1">
        <v>87256.69</v>
      </c>
      <c r="N30" s="1">
        <v>5913.4559799999997</v>
      </c>
      <c r="O30" s="1">
        <v>17188.718710000001</v>
      </c>
      <c r="P30" s="1">
        <v>7561.4292999999998</v>
      </c>
      <c r="Q30" s="1">
        <v>1495.7945299999999</v>
      </c>
      <c r="R30" s="1">
        <v>21.10172</v>
      </c>
      <c r="S30" s="1">
        <v>1388.98163</v>
      </c>
      <c r="T30" s="1">
        <v>5467.5723200000002</v>
      </c>
      <c r="U30" s="1">
        <v>7414.8723600000003</v>
      </c>
      <c r="V30" s="1">
        <v>21522.266</v>
      </c>
      <c r="W30" s="1">
        <v>340.05</v>
      </c>
      <c r="X30" s="1">
        <v>767.65049999999997</v>
      </c>
      <c r="Y30" s="1">
        <v>9.2276833333333297</v>
      </c>
      <c r="Z30" s="1">
        <v>5178.3679249999996</v>
      </c>
      <c r="AA30" s="1">
        <v>1.9233833333333299</v>
      </c>
      <c r="AB30" s="1">
        <v>468.02283333333298</v>
      </c>
      <c r="AC30" s="1">
        <v>2.0801083333333299</v>
      </c>
      <c r="AD30" s="1">
        <v>11.884740000000001</v>
      </c>
      <c r="AE30" s="1">
        <v>8282.6967499999992</v>
      </c>
      <c r="AF30" s="1">
        <v>9.0300250000000002</v>
      </c>
      <c r="AG30" s="1">
        <v>290.91145833333297</v>
      </c>
      <c r="AH30" s="1">
        <v>0</v>
      </c>
      <c r="AI30" s="1">
        <v>4971.1328700000004</v>
      </c>
      <c r="AJ30" s="1">
        <v>61340.859510000002</v>
      </c>
      <c r="AK30" s="1">
        <v>58723.947156000002</v>
      </c>
      <c r="AL30" s="1">
        <v>7143.5042100000001</v>
      </c>
      <c r="AM30" s="1">
        <v>0</v>
      </c>
      <c r="AN30" s="1">
        <v>1267.6606916666699</v>
      </c>
      <c r="AO30" s="1">
        <v>1309.61545</v>
      </c>
      <c r="AP30" s="1"/>
      <c r="AQ30" s="1"/>
      <c r="AR30" s="1"/>
      <c r="AS30" s="1"/>
      <c r="AT30" s="1"/>
      <c r="AU30" s="1"/>
      <c r="AV30" s="1"/>
      <c r="AW30" s="1"/>
      <c r="AX30" s="1"/>
    </row>
    <row r="31" spans="5:50" ht="24.75" customHeight="1" x14ac:dyDescent="0.15">
      <c r="E31" s="1">
        <f>FHD_NUM_P_2</f>
        <v>2</v>
      </c>
      <c r="F31" s="1" t="str">
        <f>FHD_P_2</f>
        <v>Себестоимость производимых товаров (оказываемых услуг) по регулируемому виду деятельности, включая:</v>
      </c>
      <c r="G31" s="1" t="s">
        <v>1976</v>
      </c>
      <c r="H31" s="1">
        <f t="shared" ref="H31:AP31" si="4">SUMIF($AQ33:$AQ126,$AQ31,H33:H126)</f>
        <v>0</v>
      </c>
      <c r="I31" s="1">
        <f t="shared" si="4"/>
        <v>13880963.365851633</v>
      </c>
      <c r="J31" s="1">
        <f t="shared" si="4"/>
        <v>1141008.8687586004</v>
      </c>
      <c r="K31" s="1">
        <f t="shared" si="4"/>
        <v>713770.08575433155</v>
      </c>
      <c r="L31" s="1">
        <f t="shared" si="4"/>
        <v>277.60763999999983</v>
      </c>
      <c r="M31" s="1">
        <f t="shared" si="4"/>
        <v>160504.10122716136</v>
      </c>
      <c r="N31" s="1">
        <f t="shared" si="4"/>
        <v>10365.614019999992</v>
      </c>
      <c r="O31" s="1">
        <f t="shared" si="4"/>
        <v>25808.827974317584</v>
      </c>
      <c r="P31" s="1">
        <f t="shared" si="4"/>
        <v>14072.800760000006</v>
      </c>
      <c r="Q31" s="1">
        <f t="shared" si="4"/>
        <v>2390.0780599999975</v>
      </c>
      <c r="R31" s="1">
        <f t="shared" si="4"/>
        <v>39.666980000000009</v>
      </c>
      <c r="S31" s="1">
        <f t="shared" si="4"/>
        <v>3628.7619200000036</v>
      </c>
      <c r="T31" s="1">
        <f t="shared" si="4"/>
        <v>1063.4656</v>
      </c>
      <c r="U31" s="1">
        <f t="shared" si="4"/>
        <v>13475.781849999994</v>
      </c>
      <c r="V31" s="1">
        <f t="shared" si="4"/>
        <v>3.1353400000000002</v>
      </c>
      <c r="W31" s="1">
        <f t="shared" si="4"/>
        <v>396.09</v>
      </c>
      <c r="X31" s="1">
        <f t="shared" si="4"/>
        <v>7.76</v>
      </c>
      <c r="Y31" s="1">
        <f t="shared" si="4"/>
        <v>1.86</v>
      </c>
      <c r="Z31" s="1">
        <f t="shared" si="4"/>
        <v>2.1800000000000002</v>
      </c>
      <c r="AA31" s="1">
        <f t="shared" si="4"/>
        <v>1.8282800000000001</v>
      </c>
      <c r="AB31" s="1">
        <f t="shared" si="4"/>
        <v>1.9028100000000001</v>
      </c>
      <c r="AC31" s="1">
        <f t="shared" si="4"/>
        <v>1.8809800000000001</v>
      </c>
      <c r="AD31" s="1">
        <f t="shared" si="4"/>
        <v>10.80551</v>
      </c>
      <c r="AE31" s="1">
        <f t="shared" si="4"/>
        <v>2.8109600000000001</v>
      </c>
      <c r="AF31" s="1">
        <f t="shared" si="4"/>
        <v>2.48</v>
      </c>
      <c r="AG31" s="1">
        <f t="shared" si="4"/>
        <v>241.0052</v>
      </c>
      <c r="AH31" s="1">
        <f t="shared" si="4"/>
        <v>0</v>
      </c>
      <c r="AI31" s="1">
        <f t="shared" si="4"/>
        <v>8360.4389699999938</v>
      </c>
      <c r="AJ31" s="1">
        <f t="shared" si="4"/>
        <v>83776.103310000282</v>
      </c>
      <c r="AK31" s="1">
        <f t="shared" si="4"/>
        <v>75407.846705645905</v>
      </c>
      <c r="AL31" s="1">
        <f t="shared" si="4"/>
        <v>0</v>
      </c>
      <c r="AM31" s="1">
        <f t="shared" si="4"/>
        <v>6.65</v>
      </c>
      <c r="AN31" s="1">
        <f t="shared" si="4"/>
        <v>0</v>
      </c>
      <c r="AO31" s="1">
        <f t="shared" si="4"/>
        <v>0</v>
      </c>
      <c r="AP31" s="1">
        <f t="shared" si="4"/>
        <v>0</v>
      </c>
      <c r="AQ31" s="1" t="s">
        <v>1981</v>
      </c>
      <c r="AR31" s="1"/>
      <c r="AS31" s="1"/>
      <c r="AT31" s="1"/>
      <c r="AU31" s="1"/>
      <c r="AV31" s="1"/>
      <c r="AW31" s="1"/>
      <c r="AX31" s="1"/>
    </row>
    <row r="32" spans="5:50" ht="27" customHeight="1" x14ac:dyDescent="0.15">
      <c r="E32" s="1" t="str">
        <f>FHD_NUM_P_3</f>
        <v>2.1</v>
      </c>
      <c r="F32" s="1" t="str">
        <f>FHD_P_3</f>
        <v>Расходы на приобретаемую тепловую энергию (мощность), теплоноситель</v>
      </c>
      <c r="G32" s="1" t="s">
        <v>1976</v>
      </c>
      <c r="H32" s="1"/>
      <c r="I32" s="1">
        <v>823470.18925000005</v>
      </c>
      <c r="J32" s="1">
        <v>0</v>
      </c>
      <c r="K32" s="1">
        <v>25494.98991</v>
      </c>
      <c r="L32" s="1">
        <v>0</v>
      </c>
      <c r="M32" s="1">
        <v>0</v>
      </c>
      <c r="N32" s="1">
        <v>0</v>
      </c>
      <c r="O32" s="1">
        <v>0</v>
      </c>
      <c r="P32" s="1">
        <v>0</v>
      </c>
      <c r="Q32" s="1">
        <v>0</v>
      </c>
      <c r="R32" s="1">
        <v>0</v>
      </c>
      <c r="S32" s="1">
        <v>0</v>
      </c>
      <c r="T32" s="1">
        <v>12699.682790000001</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1">
        <v>0</v>
      </c>
      <c r="AM32" s="1">
        <v>0</v>
      </c>
      <c r="AN32" s="1">
        <v>0</v>
      </c>
      <c r="AO32" s="1">
        <v>0</v>
      </c>
      <c r="AP32" s="1"/>
      <c r="AQ32" s="1" t="str">
        <f t="shared" ref="AQ32:AQ39" si="5">IF((LEN(E32)-LEN(SUBSTITUTE(E32,".","")))/LEN(".")=1,"p","")</f>
        <v>p</v>
      </c>
      <c r="AR32" s="1"/>
      <c r="AS32" s="1"/>
      <c r="AT32" s="1"/>
      <c r="AU32" s="1"/>
      <c r="AV32" s="1"/>
      <c r="AW32" s="1"/>
      <c r="AX32" s="1"/>
    </row>
    <row r="33" spans="1:50" ht="39" customHeight="1" x14ac:dyDescent="0.15">
      <c r="A33" s="6" t="s">
        <v>1982</v>
      </c>
      <c r="E33" s="1" t="str">
        <f>FHD_NUM_P_4</f>
        <v>2.2</v>
      </c>
      <c r="F33" s="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 t="s">
        <v>1976</v>
      </c>
      <c r="H33" s="1">
        <f t="shared" ref="H33:AP33" si="6">SUMIF($F34:$F82,$F3,H34:H82)</f>
        <v>0</v>
      </c>
      <c r="I33" s="1">
        <f t="shared" si="6"/>
        <v>7033160.2128364751</v>
      </c>
      <c r="J33" s="1">
        <f t="shared" si="6"/>
        <v>528523.73155979207</v>
      </c>
      <c r="K33" s="1">
        <f t="shared" si="6"/>
        <v>218084.29345999961</v>
      </c>
      <c r="L33" s="1">
        <f t="shared" si="6"/>
        <v>128.77560999999989</v>
      </c>
      <c r="M33" s="1">
        <f t="shared" si="6"/>
        <v>87911.707137161386</v>
      </c>
      <c r="N33" s="1">
        <f t="shared" si="6"/>
        <v>6714.1152199999915</v>
      </c>
      <c r="O33" s="1">
        <f t="shared" si="6"/>
        <v>15227.618794317581</v>
      </c>
      <c r="P33" s="1">
        <f t="shared" si="6"/>
        <v>5157.9197600000052</v>
      </c>
      <c r="Q33" s="1">
        <f t="shared" si="6"/>
        <v>1055.977859999997</v>
      </c>
      <c r="R33" s="1">
        <f t="shared" si="6"/>
        <v>13.177060000000003</v>
      </c>
      <c r="S33" s="1">
        <f t="shared" si="6"/>
        <v>2613.1612700000032</v>
      </c>
      <c r="T33" s="1">
        <f t="shared" si="6"/>
        <v>0</v>
      </c>
      <c r="U33" s="1">
        <f t="shared" si="6"/>
        <v>5671.2085599999964</v>
      </c>
      <c r="V33" s="1">
        <f t="shared" si="6"/>
        <v>0</v>
      </c>
      <c r="W33" s="1">
        <f t="shared" si="6"/>
        <v>0</v>
      </c>
      <c r="X33" s="1">
        <f t="shared" si="6"/>
        <v>0</v>
      </c>
      <c r="Y33" s="1">
        <f t="shared" si="6"/>
        <v>0</v>
      </c>
      <c r="Z33" s="1">
        <f t="shared" si="6"/>
        <v>0</v>
      </c>
      <c r="AA33" s="1">
        <f t="shared" si="6"/>
        <v>0</v>
      </c>
      <c r="AB33" s="1">
        <f t="shared" si="6"/>
        <v>0</v>
      </c>
      <c r="AC33" s="1">
        <f t="shared" si="6"/>
        <v>0</v>
      </c>
      <c r="AD33" s="1">
        <f t="shared" si="6"/>
        <v>0</v>
      </c>
      <c r="AE33" s="1">
        <f t="shared" si="6"/>
        <v>0</v>
      </c>
      <c r="AF33" s="1">
        <f t="shared" si="6"/>
        <v>0</v>
      </c>
      <c r="AG33" s="1">
        <f t="shared" si="6"/>
        <v>0</v>
      </c>
      <c r="AH33" s="1">
        <f t="shared" si="6"/>
        <v>0</v>
      </c>
      <c r="AI33" s="1">
        <f t="shared" si="6"/>
        <v>3731.3653499999959</v>
      </c>
      <c r="AJ33" s="1">
        <f t="shared" si="6"/>
        <v>34291.51638999999</v>
      </c>
      <c r="AK33" s="1">
        <f t="shared" si="6"/>
        <v>36447.881019745895</v>
      </c>
      <c r="AL33" s="1">
        <f t="shared" si="6"/>
        <v>0</v>
      </c>
      <c r="AM33" s="1">
        <f t="shared" si="6"/>
        <v>0</v>
      </c>
      <c r="AN33" s="1">
        <f t="shared" si="6"/>
        <v>0</v>
      </c>
      <c r="AO33" s="1">
        <f t="shared" si="6"/>
        <v>0</v>
      </c>
      <c r="AP33" s="1">
        <f t="shared" si="6"/>
        <v>0</v>
      </c>
      <c r="AQ33" s="1" t="str">
        <f t="shared" si="5"/>
        <v>p</v>
      </c>
      <c r="AR33" s="1"/>
      <c r="AS33" s="1"/>
      <c r="AT33" s="1"/>
      <c r="AU33" s="1"/>
      <c r="AV33" s="1"/>
      <c r="AW33" s="1"/>
      <c r="AX33" s="1"/>
    </row>
    <row r="34" spans="1:50" ht="0" hidden="1" customHeight="1" x14ac:dyDescent="0.15">
      <c r="A34" s="6"/>
      <c r="B34" s="6" t="str">
        <f>E33&amp;".0"</f>
        <v>2.2.0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t="str">
        <f t="shared" si="5"/>
        <v/>
      </c>
      <c r="AR34" s="1"/>
      <c r="AS34" s="1"/>
      <c r="AT34" s="1"/>
      <c r="AU34" s="1"/>
      <c r="AV34" s="1"/>
      <c r="AW34" s="1"/>
      <c r="AX34" s="1"/>
    </row>
    <row r="35" spans="1:50" ht="0.75" customHeight="1" x14ac:dyDescent="0.15">
      <c r="A35" s="6"/>
      <c r="B35" s="6"/>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t="str">
        <f t="shared" si="5"/>
        <v/>
      </c>
      <c r="AR35" s="1"/>
      <c r="AS35" s="1"/>
      <c r="AT35" s="1"/>
      <c r="AU35" s="1"/>
      <c r="AV35" s="1"/>
      <c r="AW35" s="1"/>
      <c r="AX35" s="1"/>
    </row>
    <row r="36" spans="1:50" ht="0" hidden="1" customHeight="1" x14ac:dyDescent="0.15">
      <c r="A36" s="6"/>
      <c r="B36" s="6"/>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t="str">
        <f t="shared" si="5"/>
        <v/>
      </c>
      <c r="AR36" s="1"/>
      <c r="AS36" s="1"/>
      <c r="AT36" s="1"/>
      <c r="AU36" s="1"/>
      <c r="AV36" s="1"/>
      <c r="AW36" s="1"/>
      <c r="AX36" s="1"/>
    </row>
    <row r="37" spans="1:50" ht="0" hidden="1" customHeight="1" x14ac:dyDescent="0.15">
      <c r="A37" s="6"/>
      <c r="B37" s="6"/>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t="str">
        <f t="shared" si="5"/>
        <v/>
      </c>
      <c r="AR37" s="1"/>
      <c r="AS37" s="1"/>
      <c r="AT37" s="1"/>
      <c r="AU37" s="1"/>
      <c r="AV37" s="1"/>
      <c r="AW37" s="1"/>
      <c r="AX37" s="1"/>
    </row>
    <row r="38" spans="1:50" ht="0" hidden="1" customHeight="1" x14ac:dyDescent="0.15">
      <c r="A38" s="6"/>
      <c r="B38" s="6"/>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t="str">
        <f t="shared" si="5"/>
        <v/>
      </c>
      <c r="AR38" s="1"/>
      <c r="AS38" s="1"/>
      <c r="AT38" s="1"/>
      <c r="AU38" s="1"/>
      <c r="AV38" s="1"/>
      <c r="AW38" s="1"/>
      <c r="AX38" s="1"/>
    </row>
    <row r="39" spans="1:50" ht="0" hidden="1" customHeight="1" x14ac:dyDescent="0.15">
      <c r="A39" s="6"/>
      <c r="B39" s="6"/>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t="str">
        <f t="shared" si="5"/>
        <v/>
      </c>
      <c r="AR39" s="1"/>
      <c r="AS39" s="1"/>
      <c r="AT39" s="1"/>
      <c r="AU39" s="1"/>
      <c r="AV39" s="1"/>
      <c r="AW39" s="1"/>
      <c r="AX39" s="1"/>
    </row>
    <row r="40" spans="1:50" ht="15" customHeight="1" x14ac:dyDescent="0.15">
      <c r="A40" s="6"/>
      <c r="B40" s="6" t="str">
        <f>E33&amp;".1"</f>
        <v>2.2.1</v>
      </c>
      <c r="C40" t="s">
        <v>1972</v>
      </c>
      <c r="D40" t="s">
        <v>90</v>
      </c>
      <c r="E40" s="1" t="str">
        <f>B40</f>
        <v>2.2.1</v>
      </c>
      <c r="F40" s="1" t="s">
        <v>1240</v>
      </c>
      <c r="G40" s="1" t="s">
        <v>1692</v>
      </c>
      <c r="H40" s="1" t="s">
        <v>1692</v>
      </c>
      <c r="I40" s="1" t="s">
        <v>1692</v>
      </c>
      <c r="J40" s="1" t="s">
        <v>1692</v>
      </c>
      <c r="K40" s="1" t="s">
        <v>1692</v>
      </c>
      <c r="L40" s="1" t="s">
        <v>1692</v>
      </c>
      <c r="M40" s="1" t="s">
        <v>1692</v>
      </c>
      <c r="N40" s="1" t="s">
        <v>1692</v>
      </c>
      <c r="O40" s="1" t="s">
        <v>1692</v>
      </c>
      <c r="P40" s="1" t="s">
        <v>1692</v>
      </c>
      <c r="Q40" s="1" t="s">
        <v>1692</v>
      </c>
      <c r="R40" s="1" t="s">
        <v>1692</v>
      </c>
      <c r="S40" s="1" t="s">
        <v>1692</v>
      </c>
      <c r="T40" s="1" t="s">
        <v>1692</v>
      </c>
      <c r="U40" s="1" t="s">
        <v>1692</v>
      </c>
      <c r="V40" s="1" t="s">
        <v>1692</v>
      </c>
      <c r="W40" s="1" t="s">
        <v>1692</v>
      </c>
      <c r="X40" s="1" t="s">
        <v>1692</v>
      </c>
      <c r="Y40" s="1" t="s">
        <v>1692</v>
      </c>
      <c r="Z40" s="1" t="s">
        <v>1692</v>
      </c>
      <c r="AA40" s="1" t="s">
        <v>1692</v>
      </c>
      <c r="AB40" s="1" t="s">
        <v>1692</v>
      </c>
      <c r="AC40" s="1" t="s">
        <v>1692</v>
      </c>
      <c r="AD40" s="1" t="s">
        <v>1692</v>
      </c>
      <c r="AE40" s="1" t="s">
        <v>1692</v>
      </c>
      <c r="AF40" s="1" t="s">
        <v>1692</v>
      </c>
      <c r="AG40" s="1" t="s">
        <v>1692</v>
      </c>
      <c r="AH40" s="1" t="s">
        <v>1692</v>
      </c>
      <c r="AI40" s="1" t="s">
        <v>1692</v>
      </c>
      <c r="AJ40" s="1" t="s">
        <v>1692</v>
      </c>
      <c r="AK40" s="1" t="s">
        <v>1692</v>
      </c>
      <c r="AL40" s="1" t="s">
        <v>1692</v>
      </c>
      <c r="AM40" s="1" t="s">
        <v>1692</v>
      </c>
      <c r="AN40" s="1" t="s">
        <v>1692</v>
      </c>
      <c r="AO40" s="1" t="s">
        <v>1692</v>
      </c>
      <c r="AP40" s="1" t="s">
        <v>1692</v>
      </c>
      <c r="AQ40" s="1"/>
      <c r="AR40" s="1"/>
      <c r="AS40" s="1"/>
      <c r="AT40" s="1"/>
      <c r="AU40" s="1"/>
      <c r="AV40" s="1"/>
      <c r="AW40" s="1"/>
      <c r="AX40" s="1"/>
    </row>
    <row r="41" spans="1:50" ht="15" hidden="1" customHeight="1" x14ac:dyDescent="0.15">
      <c r="A41" s="6"/>
      <c r="B41" s="6" t="str">
        <f>E33&amp;".0"</f>
        <v>2.2.0</v>
      </c>
      <c r="E41" s="1"/>
      <c r="F41" s="1" t="s">
        <v>1973</v>
      </c>
      <c r="G41" s="1"/>
      <c r="H41" s="1">
        <f>H42*H43+H45</f>
        <v>0</v>
      </c>
      <c r="I41" s="1">
        <f>I42*I43+I44</f>
        <v>23349.719350000014</v>
      </c>
      <c r="J41" s="1">
        <f t="shared" ref="J41:AP41" si="7">J42*J43+J45</f>
        <v>221.43331000000001</v>
      </c>
      <c r="K41" s="1">
        <f t="shared" si="7"/>
        <v>0</v>
      </c>
      <c r="L41" s="1">
        <f t="shared" si="7"/>
        <v>0</v>
      </c>
      <c r="M41" s="1">
        <f t="shared" si="7"/>
        <v>58.748589999999965</v>
      </c>
      <c r="N41" s="1">
        <f t="shared" si="7"/>
        <v>0</v>
      </c>
      <c r="O41" s="1">
        <f t="shared" si="7"/>
        <v>0</v>
      </c>
      <c r="P41" s="1">
        <f t="shared" si="7"/>
        <v>11.798970000000002</v>
      </c>
      <c r="Q41" s="1">
        <f t="shared" si="7"/>
        <v>0</v>
      </c>
      <c r="R41" s="1">
        <f t="shared" si="7"/>
        <v>0</v>
      </c>
      <c r="S41" s="1">
        <f t="shared" si="7"/>
        <v>0</v>
      </c>
      <c r="T41" s="1">
        <f t="shared" si="7"/>
        <v>0</v>
      </c>
      <c r="U41" s="1">
        <f t="shared" si="7"/>
        <v>2.6012900000000037</v>
      </c>
      <c r="V41" s="1">
        <f t="shared" si="7"/>
        <v>0</v>
      </c>
      <c r="W41" s="1">
        <f t="shared" si="7"/>
        <v>0</v>
      </c>
      <c r="X41" s="1">
        <f t="shared" si="7"/>
        <v>0</v>
      </c>
      <c r="Y41" s="1">
        <f t="shared" si="7"/>
        <v>0</v>
      </c>
      <c r="Z41" s="1">
        <f t="shared" si="7"/>
        <v>0</v>
      </c>
      <c r="AA41" s="1">
        <f t="shared" si="7"/>
        <v>0</v>
      </c>
      <c r="AB41" s="1">
        <f t="shared" si="7"/>
        <v>0</v>
      </c>
      <c r="AC41" s="1">
        <f t="shared" si="7"/>
        <v>0</v>
      </c>
      <c r="AD41" s="1">
        <f t="shared" si="7"/>
        <v>0</v>
      </c>
      <c r="AE41" s="1">
        <f t="shared" si="7"/>
        <v>0</v>
      </c>
      <c r="AF41" s="1">
        <f t="shared" si="7"/>
        <v>0</v>
      </c>
      <c r="AG41" s="1">
        <f t="shared" si="7"/>
        <v>0</v>
      </c>
      <c r="AH41" s="1">
        <f t="shared" si="7"/>
        <v>0</v>
      </c>
      <c r="AI41" s="1">
        <f t="shared" si="7"/>
        <v>0</v>
      </c>
      <c r="AJ41" s="1">
        <f t="shared" si="7"/>
        <v>22.588740000000001</v>
      </c>
      <c r="AK41" s="1">
        <f t="shared" si="7"/>
        <v>0</v>
      </c>
      <c r="AL41" s="1">
        <f t="shared" si="7"/>
        <v>0</v>
      </c>
      <c r="AM41" s="1">
        <f t="shared" si="7"/>
        <v>0</v>
      </c>
      <c r="AN41" s="1">
        <f t="shared" si="7"/>
        <v>0</v>
      </c>
      <c r="AO41" s="1">
        <f t="shared" si="7"/>
        <v>0</v>
      </c>
      <c r="AP41" s="1">
        <f t="shared" si="7"/>
        <v>0</v>
      </c>
      <c r="AQ41" s="1"/>
      <c r="AR41" s="1"/>
      <c r="AS41" s="1"/>
      <c r="AT41" s="1"/>
      <c r="AU41" s="1"/>
      <c r="AV41" s="1"/>
      <c r="AW41" s="1"/>
      <c r="AX41" s="1"/>
    </row>
    <row r="42" spans="1:50" ht="15" customHeight="1" x14ac:dyDescent="0.15">
      <c r="A42" s="6"/>
      <c r="B42" s="6" t="str">
        <f>E33&amp;".0"</f>
        <v>2.2.0</v>
      </c>
      <c r="E42" s="1" t="str">
        <f>B40&amp;".1"</f>
        <v>2.2.1.1</v>
      </c>
      <c r="F42" s="1" t="s">
        <v>1974</v>
      </c>
      <c r="G42" s="1" t="s">
        <v>1983</v>
      </c>
      <c r="H42" s="1"/>
      <c r="I42" s="1">
        <v>381.988</v>
      </c>
      <c r="J42" s="1">
        <v>3.6139999999999999</v>
      </c>
      <c r="K42" s="1">
        <v>0</v>
      </c>
      <c r="L42" s="1">
        <v>0</v>
      </c>
      <c r="M42" s="1">
        <v>0.846421146483882</v>
      </c>
      <c r="N42" s="1">
        <v>0</v>
      </c>
      <c r="O42" s="1">
        <v>0</v>
      </c>
      <c r="P42" s="1">
        <v>0.193652964319838</v>
      </c>
      <c r="Q42" s="1">
        <v>0</v>
      </c>
      <c r="R42" s="1">
        <v>0</v>
      </c>
      <c r="S42" s="1">
        <v>0</v>
      </c>
      <c r="T42" s="1">
        <v>0</v>
      </c>
      <c r="U42" s="1">
        <v>4.1871557744174899E-2</v>
      </c>
      <c r="V42" s="1">
        <v>0</v>
      </c>
      <c r="W42" s="1">
        <v>0</v>
      </c>
      <c r="X42" s="1">
        <v>0</v>
      </c>
      <c r="Y42" s="1">
        <v>0</v>
      </c>
      <c r="Z42" s="1">
        <v>0</v>
      </c>
      <c r="AA42" s="1">
        <v>0</v>
      </c>
      <c r="AB42" s="1">
        <v>0</v>
      </c>
      <c r="AC42" s="1">
        <v>0</v>
      </c>
      <c r="AD42" s="1">
        <v>0</v>
      </c>
      <c r="AE42" s="1">
        <v>0</v>
      </c>
      <c r="AF42" s="1">
        <v>0</v>
      </c>
      <c r="AG42" s="1"/>
      <c r="AH42" s="1">
        <v>0</v>
      </c>
      <c r="AI42" s="1">
        <v>0</v>
      </c>
      <c r="AJ42" s="1">
        <v>0.36866949403411797</v>
      </c>
      <c r="AK42" s="1">
        <v>0</v>
      </c>
      <c r="AL42" s="1">
        <v>0</v>
      </c>
      <c r="AM42" s="1">
        <v>0</v>
      </c>
      <c r="AN42" s="1">
        <v>0</v>
      </c>
      <c r="AO42" s="1">
        <v>0</v>
      </c>
      <c r="AP42" s="1"/>
      <c r="AQ42" s="1"/>
      <c r="AR42" s="1"/>
      <c r="AS42" s="1"/>
      <c r="AT42" s="1"/>
      <c r="AU42" s="1"/>
      <c r="AV42" s="1"/>
      <c r="AW42" s="1"/>
      <c r="AX42" s="1"/>
    </row>
    <row r="43" spans="1:50" ht="15" customHeight="1" x14ac:dyDescent="0.15">
      <c r="A43" s="6"/>
      <c r="B43" s="6" t="str">
        <f>E33&amp;".0"</f>
        <v>2.2.0</v>
      </c>
      <c r="E43" s="1" t="str">
        <f>B40&amp;".2"</f>
        <v>2.2.1.2</v>
      </c>
      <c r="F43" s="1" t="s">
        <v>1975</v>
      </c>
      <c r="G43" s="1" t="s">
        <v>1976</v>
      </c>
      <c r="H43" s="1"/>
      <c r="I43" s="1">
        <v>61.1268399792664</v>
      </c>
      <c r="J43" s="1">
        <v>61.270976757055898</v>
      </c>
      <c r="K43" s="1">
        <v>0</v>
      </c>
      <c r="L43" s="1">
        <v>0</v>
      </c>
      <c r="M43" s="1">
        <v>69.408225732600698</v>
      </c>
      <c r="N43" s="1">
        <v>0</v>
      </c>
      <c r="O43" s="1">
        <v>0</v>
      </c>
      <c r="P43" s="1">
        <v>60.928424418604699</v>
      </c>
      <c r="Q43" s="1">
        <v>0</v>
      </c>
      <c r="R43" s="1">
        <v>0</v>
      </c>
      <c r="S43" s="1">
        <v>0</v>
      </c>
      <c r="T43" s="1">
        <v>0</v>
      </c>
      <c r="U43" s="1">
        <v>62.125465116279102</v>
      </c>
      <c r="V43" s="1">
        <v>0</v>
      </c>
      <c r="W43" s="1">
        <v>0</v>
      </c>
      <c r="X43" s="1">
        <v>0</v>
      </c>
      <c r="Y43" s="1">
        <v>0</v>
      </c>
      <c r="Z43" s="1">
        <v>0</v>
      </c>
      <c r="AA43" s="1">
        <v>0</v>
      </c>
      <c r="AB43" s="1">
        <v>0</v>
      </c>
      <c r="AC43" s="1">
        <v>0</v>
      </c>
      <c r="AD43" s="1">
        <v>0</v>
      </c>
      <c r="AE43" s="1">
        <v>0</v>
      </c>
      <c r="AF43" s="1">
        <v>0</v>
      </c>
      <c r="AG43" s="1"/>
      <c r="AH43" s="1">
        <v>0</v>
      </c>
      <c r="AI43" s="1">
        <v>0</v>
      </c>
      <c r="AJ43" s="1">
        <v>61.270976757055898</v>
      </c>
      <c r="AK43" s="1">
        <v>0</v>
      </c>
      <c r="AL43" s="1">
        <v>0</v>
      </c>
      <c r="AM43" s="1">
        <v>0</v>
      </c>
      <c r="AN43" s="1">
        <v>0</v>
      </c>
      <c r="AO43" s="1">
        <v>0</v>
      </c>
      <c r="AP43" s="1"/>
      <c r="AQ43" s="1"/>
      <c r="AR43" s="1"/>
      <c r="AS43" s="1"/>
      <c r="AT43" s="1"/>
      <c r="AU43" s="1"/>
      <c r="AV43" s="1"/>
      <c r="AW43" s="1"/>
      <c r="AX43" s="1"/>
    </row>
    <row r="44" spans="1:50" ht="15" customHeight="1" x14ac:dyDescent="0.15">
      <c r="A44" s="6"/>
      <c r="B44" s="6" t="str">
        <f>E33&amp;".0"</f>
        <v>2.2.0</v>
      </c>
      <c r="E44" s="1" t="str">
        <f>B40&amp;".3"</f>
        <v>2.2.1.3</v>
      </c>
      <c r="F44" s="1" t="s">
        <v>1977</v>
      </c>
      <c r="G44" s="1" t="s">
        <v>1976</v>
      </c>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ht="15" customHeight="1" x14ac:dyDescent="0.15">
      <c r="A45" s="6"/>
      <c r="B45" s="6" t="str">
        <f>E33&amp;".0"</f>
        <v>2.2.0</v>
      </c>
      <c r="E45" s="1" t="str">
        <f>B40&amp;".4"</f>
        <v>2.2.1.4</v>
      </c>
      <c r="F45" s="1" t="s">
        <v>1978</v>
      </c>
      <c r="G45" s="1" t="s">
        <v>1692</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ht="23.25" customHeight="1" x14ac:dyDescent="0.15">
      <c r="A46" s="6"/>
      <c r="B46" s="6" t="str">
        <f>E33&amp;".2"</f>
        <v>2.2.2</v>
      </c>
      <c r="C46" t="s">
        <v>1972</v>
      </c>
      <c r="D46" t="s">
        <v>90</v>
      </c>
      <c r="E46" s="1" t="str">
        <f>B46</f>
        <v>2.2.2</v>
      </c>
      <c r="F46" s="1" t="s">
        <v>1256</v>
      </c>
      <c r="G46" s="1" t="s">
        <v>1692</v>
      </c>
      <c r="H46" s="1" t="s">
        <v>1692</v>
      </c>
      <c r="I46" s="1" t="s">
        <v>1692</v>
      </c>
      <c r="J46" s="1" t="s">
        <v>1692</v>
      </c>
      <c r="K46" s="1" t="s">
        <v>1692</v>
      </c>
      <c r="L46" s="1" t="s">
        <v>1692</v>
      </c>
      <c r="M46" s="1" t="s">
        <v>1692</v>
      </c>
      <c r="N46" s="1" t="s">
        <v>1692</v>
      </c>
      <c r="O46" s="1" t="s">
        <v>1692</v>
      </c>
      <c r="P46" s="1" t="s">
        <v>1692</v>
      </c>
      <c r="Q46" s="1" t="s">
        <v>1692</v>
      </c>
      <c r="R46" s="1" t="s">
        <v>1692</v>
      </c>
      <c r="S46" s="1" t="s">
        <v>1692</v>
      </c>
      <c r="T46" s="1" t="s">
        <v>1692</v>
      </c>
      <c r="U46" s="1" t="s">
        <v>1692</v>
      </c>
      <c r="V46" s="1" t="s">
        <v>1692</v>
      </c>
      <c r="W46" s="1" t="s">
        <v>1692</v>
      </c>
      <c r="X46" s="1" t="s">
        <v>1692</v>
      </c>
      <c r="Y46" s="1" t="s">
        <v>1692</v>
      </c>
      <c r="Z46" s="1" t="s">
        <v>1692</v>
      </c>
      <c r="AA46" s="1" t="s">
        <v>1692</v>
      </c>
      <c r="AB46" s="1" t="s">
        <v>1692</v>
      </c>
      <c r="AC46" s="1" t="s">
        <v>1692</v>
      </c>
      <c r="AD46" s="1" t="s">
        <v>1692</v>
      </c>
      <c r="AE46" s="1" t="s">
        <v>1692</v>
      </c>
      <c r="AF46" s="1" t="s">
        <v>1692</v>
      </c>
      <c r="AG46" s="1" t="s">
        <v>1692</v>
      </c>
      <c r="AH46" s="1" t="s">
        <v>1692</v>
      </c>
      <c r="AI46" s="1" t="s">
        <v>1692</v>
      </c>
      <c r="AJ46" s="1" t="s">
        <v>1692</v>
      </c>
      <c r="AK46" s="1" t="s">
        <v>1692</v>
      </c>
      <c r="AL46" s="1" t="s">
        <v>1692</v>
      </c>
      <c r="AM46" s="1" t="s">
        <v>1692</v>
      </c>
      <c r="AN46" s="1" t="s">
        <v>1692</v>
      </c>
      <c r="AO46" s="1" t="s">
        <v>1692</v>
      </c>
      <c r="AP46" s="1" t="s">
        <v>1692</v>
      </c>
      <c r="AQ46" s="1"/>
      <c r="AR46" s="1"/>
      <c r="AS46" s="1"/>
      <c r="AT46" s="1"/>
      <c r="AU46" s="1"/>
      <c r="AV46" s="1"/>
      <c r="AW46" s="1"/>
      <c r="AX46" s="1"/>
    </row>
    <row r="47" spans="1:50" ht="15" hidden="1" customHeight="1" x14ac:dyDescent="0.15">
      <c r="A47" s="6"/>
      <c r="B47" s="6" t="str">
        <f>E33&amp;".1"</f>
        <v>2.2.1</v>
      </c>
      <c r="E47" s="1"/>
      <c r="F47" s="1" t="s">
        <v>1973</v>
      </c>
      <c r="G47" s="1"/>
      <c r="H47" s="1">
        <f>H48*H49+H51</f>
        <v>0</v>
      </c>
      <c r="I47" s="1">
        <f>I48*I49+I50</f>
        <v>1632030.0217800026</v>
      </c>
      <c r="J47" s="1">
        <f t="shared" ref="J47:AP47" si="8">J48*J49+J51</f>
        <v>354931.01952644455</v>
      </c>
      <c r="K47" s="1">
        <f t="shared" si="8"/>
        <v>206460.95714999959</v>
      </c>
      <c r="L47" s="1">
        <f t="shared" si="8"/>
        <v>0</v>
      </c>
      <c r="M47" s="1">
        <f t="shared" si="8"/>
        <v>18235.253210000039</v>
      </c>
      <c r="N47" s="1">
        <f t="shared" si="8"/>
        <v>89.46846999999994</v>
      </c>
      <c r="O47" s="1">
        <f t="shared" si="8"/>
        <v>0</v>
      </c>
      <c r="P47" s="1">
        <f t="shared" si="8"/>
        <v>5146.1207900000054</v>
      </c>
      <c r="Q47" s="1">
        <f t="shared" si="8"/>
        <v>1055.977859999997</v>
      </c>
      <c r="R47" s="1">
        <f t="shared" si="8"/>
        <v>13.177060000000003</v>
      </c>
      <c r="S47" s="1">
        <f t="shared" si="8"/>
        <v>0</v>
      </c>
      <c r="T47" s="1">
        <f t="shared" si="8"/>
        <v>0</v>
      </c>
      <c r="U47" s="1">
        <f t="shared" si="8"/>
        <v>5668.6072699999968</v>
      </c>
      <c r="V47" s="1">
        <f t="shared" si="8"/>
        <v>0</v>
      </c>
      <c r="W47" s="1">
        <f t="shared" si="8"/>
        <v>0</v>
      </c>
      <c r="X47" s="1">
        <f t="shared" si="8"/>
        <v>0</v>
      </c>
      <c r="Y47" s="1">
        <f t="shared" si="8"/>
        <v>0</v>
      </c>
      <c r="Z47" s="1">
        <f t="shared" si="8"/>
        <v>0</v>
      </c>
      <c r="AA47" s="1">
        <f t="shared" si="8"/>
        <v>0</v>
      </c>
      <c r="AB47" s="1">
        <f t="shared" si="8"/>
        <v>0</v>
      </c>
      <c r="AC47" s="1">
        <f t="shared" si="8"/>
        <v>0</v>
      </c>
      <c r="AD47" s="1">
        <f t="shared" si="8"/>
        <v>0</v>
      </c>
      <c r="AE47" s="1">
        <f t="shared" si="8"/>
        <v>0</v>
      </c>
      <c r="AF47" s="1">
        <f t="shared" si="8"/>
        <v>0</v>
      </c>
      <c r="AG47" s="1">
        <f t="shared" si="8"/>
        <v>0</v>
      </c>
      <c r="AH47" s="1">
        <f t="shared" si="8"/>
        <v>0</v>
      </c>
      <c r="AI47" s="1">
        <f t="shared" si="8"/>
        <v>1420.8613999999957</v>
      </c>
      <c r="AJ47" s="1">
        <f t="shared" si="8"/>
        <v>33304.97505999999</v>
      </c>
      <c r="AK47" s="1">
        <f t="shared" si="8"/>
        <v>36447.881019745895</v>
      </c>
      <c r="AL47" s="1">
        <f t="shared" si="8"/>
        <v>0</v>
      </c>
      <c r="AM47" s="1">
        <f t="shared" si="8"/>
        <v>0</v>
      </c>
      <c r="AN47" s="1">
        <f t="shared" si="8"/>
        <v>0</v>
      </c>
      <c r="AO47" s="1">
        <f t="shared" si="8"/>
        <v>0</v>
      </c>
      <c r="AP47" s="1">
        <f t="shared" si="8"/>
        <v>0</v>
      </c>
      <c r="AQ47" s="1"/>
      <c r="AR47" s="1"/>
      <c r="AS47" s="1"/>
      <c r="AT47" s="1"/>
      <c r="AU47" s="1"/>
      <c r="AV47" s="1"/>
      <c r="AW47" s="1"/>
      <c r="AX47" s="1"/>
    </row>
    <row r="48" spans="1:50" ht="15" customHeight="1" x14ac:dyDescent="0.15">
      <c r="A48" s="6"/>
      <c r="B48" s="6" t="str">
        <f>E33&amp;".1"</f>
        <v>2.2.1</v>
      </c>
      <c r="E48" s="1" t="str">
        <f>B46&amp;".1"</f>
        <v>2.2.2.1</v>
      </c>
      <c r="F48" s="1" t="s">
        <v>1974</v>
      </c>
      <c r="G48" s="1" t="s">
        <v>1983</v>
      </c>
      <c r="H48" s="1"/>
      <c r="I48" s="1">
        <v>517723.11900000001</v>
      </c>
      <c r="J48" s="1">
        <v>150353.446</v>
      </c>
      <c r="K48" s="1">
        <v>99885.895000000004</v>
      </c>
      <c r="L48" s="1">
        <v>0</v>
      </c>
      <c r="M48" s="1">
        <v>5809.2833994946704</v>
      </c>
      <c r="N48" s="1">
        <v>17.6212663231988</v>
      </c>
      <c r="O48" s="1">
        <v>0</v>
      </c>
      <c r="P48" s="1">
        <v>2333.0413074773001</v>
      </c>
      <c r="Q48" s="1">
        <v>254.26680169289301</v>
      </c>
      <c r="R48" s="1">
        <v>3.1728779824184601</v>
      </c>
      <c r="S48" s="1">
        <v>0</v>
      </c>
      <c r="T48" s="1">
        <v>0</v>
      </c>
      <c r="U48" s="1">
        <v>2829.5372358643599</v>
      </c>
      <c r="V48" s="1">
        <v>0</v>
      </c>
      <c r="W48" s="1">
        <v>0</v>
      </c>
      <c r="X48" s="1">
        <v>0</v>
      </c>
      <c r="Y48" s="1">
        <v>0</v>
      </c>
      <c r="Z48" s="1">
        <v>0</v>
      </c>
      <c r="AA48" s="1">
        <v>0</v>
      </c>
      <c r="AB48" s="1">
        <v>0</v>
      </c>
      <c r="AC48" s="1">
        <v>0</v>
      </c>
      <c r="AD48" s="1">
        <v>0</v>
      </c>
      <c r="AE48" s="1">
        <v>0</v>
      </c>
      <c r="AF48" s="1">
        <v>0</v>
      </c>
      <c r="AG48" s="1"/>
      <c r="AH48" s="1">
        <v>0</v>
      </c>
      <c r="AI48" s="1">
        <v>954.19769893824196</v>
      </c>
      <c r="AJ48" s="1">
        <v>14108.4252818933</v>
      </c>
      <c r="AK48" s="1">
        <v>17784.8784996707</v>
      </c>
      <c r="AL48" s="1">
        <v>0</v>
      </c>
      <c r="AM48" s="1">
        <v>0</v>
      </c>
      <c r="AN48" s="1">
        <v>0</v>
      </c>
      <c r="AO48" s="1">
        <v>0</v>
      </c>
      <c r="AP48" s="1"/>
      <c r="AQ48" s="1"/>
      <c r="AR48" s="1"/>
      <c r="AS48" s="1"/>
      <c r="AT48" s="1"/>
      <c r="AU48" s="1"/>
      <c r="AV48" s="1"/>
      <c r="AW48" s="1"/>
      <c r="AX48" s="1"/>
    </row>
    <row r="49" spans="1:50" ht="15" customHeight="1" x14ac:dyDescent="0.15">
      <c r="A49" s="6"/>
      <c r="B49" s="6" t="str">
        <f>E33&amp;".1"</f>
        <v>2.2.1</v>
      </c>
      <c r="E49" s="1" t="str">
        <f>B46&amp;".2"</f>
        <v>2.2.2.2</v>
      </c>
      <c r="F49" s="1" t="s">
        <v>1975</v>
      </c>
      <c r="G49" s="1" t="s">
        <v>1976</v>
      </c>
      <c r="H49" s="1"/>
      <c r="I49" s="1">
        <v>3.15232208469331</v>
      </c>
      <c r="J49" s="1">
        <v>2.3606443947180602</v>
      </c>
      <c r="K49" s="1">
        <v>2.0669680854338801</v>
      </c>
      <c r="L49" s="1">
        <v>0</v>
      </c>
      <c r="M49" s="1">
        <v>3.13898495838338</v>
      </c>
      <c r="N49" s="1">
        <v>5.0773008227117398</v>
      </c>
      <c r="O49" s="1">
        <v>0</v>
      </c>
      <c r="P49" s="1">
        <v>2.20575639767153</v>
      </c>
      <c r="Q49" s="1">
        <v>4.1530308045303599</v>
      </c>
      <c r="R49" s="1">
        <v>4.1530308045303599</v>
      </c>
      <c r="S49" s="1">
        <v>0</v>
      </c>
      <c r="T49" s="1">
        <v>0</v>
      </c>
      <c r="U49" s="1">
        <v>2.0033690308614598</v>
      </c>
      <c r="V49" s="1">
        <v>0</v>
      </c>
      <c r="W49" s="1">
        <v>0</v>
      </c>
      <c r="X49" s="1">
        <v>0</v>
      </c>
      <c r="Y49" s="1">
        <v>0</v>
      </c>
      <c r="Z49" s="1">
        <v>0</v>
      </c>
      <c r="AA49" s="1">
        <v>0</v>
      </c>
      <c r="AB49" s="1">
        <v>0</v>
      </c>
      <c r="AC49" s="1">
        <v>0</v>
      </c>
      <c r="AD49" s="1">
        <v>0</v>
      </c>
      <c r="AE49" s="1">
        <v>0</v>
      </c>
      <c r="AF49" s="1">
        <v>0</v>
      </c>
      <c r="AG49" s="1"/>
      <c r="AH49" s="1">
        <v>0</v>
      </c>
      <c r="AI49" s="1">
        <v>1.4890639555943399</v>
      </c>
      <c r="AJ49" s="1">
        <v>2.3606443947180602</v>
      </c>
      <c r="AK49" s="1">
        <v>2.0493747551000001</v>
      </c>
      <c r="AL49" s="1">
        <v>0</v>
      </c>
      <c r="AM49" s="1">
        <v>0</v>
      </c>
      <c r="AN49" s="1">
        <v>0</v>
      </c>
      <c r="AO49" s="1">
        <v>0</v>
      </c>
      <c r="AP49" s="1"/>
      <c r="AQ49" s="1"/>
      <c r="AR49" s="1"/>
      <c r="AS49" s="1"/>
      <c r="AT49" s="1"/>
      <c r="AU49" s="1"/>
      <c r="AV49" s="1"/>
      <c r="AW49" s="1"/>
      <c r="AX49" s="1"/>
    </row>
    <row r="50" spans="1:50" ht="15" customHeight="1" x14ac:dyDescent="0.15">
      <c r="A50" s="6"/>
      <c r="B50" s="6" t="str">
        <f>E33&amp;".1"</f>
        <v>2.2.1</v>
      </c>
      <c r="E50" s="1" t="str">
        <f>B46&amp;".3"</f>
        <v>2.2.2.3</v>
      </c>
      <c r="F50" s="1" t="s">
        <v>1977</v>
      </c>
      <c r="G50" s="1" t="s">
        <v>1976</v>
      </c>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ht="15" customHeight="1" x14ac:dyDescent="0.15">
      <c r="A51" s="6"/>
      <c r="B51" s="6" t="str">
        <f>E33&amp;".1"</f>
        <v>2.2.1</v>
      </c>
      <c r="E51" s="1" t="str">
        <f>B46&amp;".4"</f>
        <v>2.2.2.4</v>
      </c>
      <c r="F51" s="1" t="s">
        <v>1978</v>
      </c>
      <c r="G51" s="1" t="s">
        <v>1692</v>
      </c>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ht="15" customHeight="1" x14ac:dyDescent="0.15">
      <c r="A52" s="6"/>
      <c r="B52" s="6" t="str">
        <f>E33&amp;".3"</f>
        <v>2.2.3</v>
      </c>
      <c r="C52" t="s">
        <v>1972</v>
      </c>
      <c r="D52" t="s">
        <v>90</v>
      </c>
      <c r="E52" s="1" t="str">
        <f>B52</f>
        <v>2.2.3</v>
      </c>
      <c r="F52" s="1" t="s">
        <v>1271</v>
      </c>
      <c r="G52" s="1" t="s">
        <v>1692</v>
      </c>
      <c r="H52" s="1" t="s">
        <v>1692</v>
      </c>
      <c r="I52" s="1" t="s">
        <v>1692</v>
      </c>
      <c r="J52" s="1" t="s">
        <v>1692</v>
      </c>
      <c r="K52" s="1" t="s">
        <v>1692</v>
      </c>
      <c r="L52" s="1" t="s">
        <v>1692</v>
      </c>
      <c r="M52" s="1" t="s">
        <v>1692</v>
      </c>
      <c r="N52" s="1" t="s">
        <v>1692</v>
      </c>
      <c r="O52" s="1" t="s">
        <v>1692</v>
      </c>
      <c r="P52" s="1" t="s">
        <v>1692</v>
      </c>
      <c r="Q52" s="1" t="s">
        <v>1692</v>
      </c>
      <c r="R52" s="1" t="s">
        <v>1692</v>
      </c>
      <c r="S52" s="1" t="s">
        <v>1692</v>
      </c>
      <c r="T52" s="1" t="s">
        <v>1692</v>
      </c>
      <c r="U52" s="1" t="s">
        <v>1692</v>
      </c>
      <c r="V52" s="1" t="s">
        <v>1692</v>
      </c>
      <c r="W52" s="1" t="s">
        <v>1692</v>
      </c>
      <c r="X52" s="1" t="s">
        <v>1692</v>
      </c>
      <c r="Y52" s="1" t="s">
        <v>1692</v>
      </c>
      <c r="Z52" s="1" t="s">
        <v>1692</v>
      </c>
      <c r="AA52" s="1" t="s">
        <v>1692</v>
      </c>
      <c r="AB52" s="1" t="s">
        <v>1692</v>
      </c>
      <c r="AC52" s="1" t="s">
        <v>1692</v>
      </c>
      <c r="AD52" s="1" t="s">
        <v>1692</v>
      </c>
      <c r="AE52" s="1" t="s">
        <v>1692</v>
      </c>
      <c r="AF52" s="1" t="s">
        <v>1692</v>
      </c>
      <c r="AG52" s="1" t="s">
        <v>1692</v>
      </c>
      <c r="AH52" s="1" t="s">
        <v>1692</v>
      </c>
      <c r="AI52" s="1" t="s">
        <v>1692</v>
      </c>
      <c r="AJ52" s="1" t="s">
        <v>1692</v>
      </c>
      <c r="AK52" s="1" t="s">
        <v>1692</v>
      </c>
      <c r="AL52" s="1" t="s">
        <v>1692</v>
      </c>
      <c r="AM52" s="1" t="s">
        <v>1692</v>
      </c>
      <c r="AN52" s="1" t="s">
        <v>1692</v>
      </c>
      <c r="AO52" s="1" t="s">
        <v>1692</v>
      </c>
      <c r="AP52" s="1" t="s">
        <v>1692</v>
      </c>
      <c r="AQ52" s="1"/>
      <c r="AR52" s="1"/>
      <c r="AS52" s="1"/>
      <c r="AT52" s="1"/>
      <c r="AU52" s="1"/>
      <c r="AV52" s="1"/>
      <c r="AW52" s="1"/>
      <c r="AX52" s="1"/>
    </row>
    <row r="53" spans="1:50" ht="15" hidden="1" customHeight="1" x14ac:dyDescent="0.15">
      <c r="A53" s="6"/>
      <c r="B53" s="6" t="str">
        <f>E33&amp;".2"</f>
        <v>2.2.2</v>
      </c>
      <c r="E53" s="1"/>
      <c r="F53" s="1" t="s">
        <v>1973</v>
      </c>
      <c r="G53" s="1"/>
      <c r="H53" s="1">
        <f>H54*H55+H57</f>
        <v>0</v>
      </c>
      <c r="I53" s="1">
        <f>I54*I55+I56</f>
        <v>285672.85229999997</v>
      </c>
      <c r="J53" s="1">
        <f t="shared" ref="J53:AP53" si="9">J54*J55+J57</f>
        <v>0</v>
      </c>
      <c r="K53" s="1">
        <f t="shared" si="9"/>
        <v>0</v>
      </c>
      <c r="L53" s="1">
        <f t="shared" si="9"/>
        <v>0</v>
      </c>
      <c r="M53" s="1">
        <f t="shared" si="9"/>
        <v>0</v>
      </c>
      <c r="N53" s="1">
        <f t="shared" si="9"/>
        <v>0</v>
      </c>
      <c r="O53" s="1">
        <f t="shared" si="9"/>
        <v>0</v>
      </c>
      <c r="P53" s="1">
        <f t="shared" si="9"/>
        <v>0</v>
      </c>
      <c r="Q53" s="1">
        <f t="shared" si="9"/>
        <v>0</v>
      </c>
      <c r="R53" s="1">
        <f t="shared" si="9"/>
        <v>0</v>
      </c>
      <c r="S53" s="1">
        <f t="shared" si="9"/>
        <v>0</v>
      </c>
      <c r="T53" s="1">
        <f t="shared" si="9"/>
        <v>0</v>
      </c>
      <c r="U53" s="1">
        <f t="shared" si="9"/>
        <v>0</v>
      </c>
      <c r="V53" s="1">
        <f t="shared" si="9"/>
        <v>0</v>
      </c>
      <c r="W53" s="1">
        <f t="shared" si="9"/>
        <v>0</v>
      </c>
      <c r="X53" s="1">
        <f t="shared" si="9"/>
        <v>0</v>
      </c>
      <c r="Y53" s="1">
        <f t="shared" si="9"/>
        <v>0</v>
      </c>
      <c r="Z53" s="1">
        <f t="shared" si="9"/>
        <v>0</v>
      </c>
      <c r="AA53" s="1">
        <f t="shared" si="9"/>
        <v>0</v>
      </c>
      <c r="AB53" s="1">
        <f t="shared" si="9"/>
        <v>0</v>
      </c>
      <c r="AC53" s="1">
        <f t="shared" si="9"/>
        <v>0</v>
      </c>
      <c r="AD53" s="1">
        <f t="shared" si="9"/>
        <v>0</v>
      </c>
      <c r="AE53" s="1">
        <f t="shared" si="9"/>
        <v>0</v>
      </c>
      <c r="AF53" s="1">
        <f t="shared" si="9"/>
        <v>0</v>
      </c>
      <c r="AG53" s="1">
        <f t="shared" si="9"/>
        <v>0</v>
      </c>
      <c r="AH53" s="1">
        <f t="shared" si="9"/>
        <v>0</v>
      </c>
      <c r="AI53" s="1">
        <f t="shared" si="9"/>
        <v>0</v>
      </c>
      <c r="AJ53" s="1">
        <f t="shared" si="9"/>
        <v>0</v>
      </c>
      <c r="AK53" s="1">
        <f t="shared" si="9"/>
        <v>0</v>
      </c>
      <c r="AL53" s="1">
        <f t="shared" si="9"/>
        <v>0</v>
      </c>
      <c r="AM53" s="1">
        <f t="shared" si="9"/>
        <v>0</v>
      </c>
      <c r="AN53" s="1">
        <f t="shared" si="9"/>
        <v>0</v>
      </c>
      <c r="AO53" s="1">
        <f t="shared" si="9"/>
        <v>0</v>
      </c>
      <c r="AP53" s="1">
        <f t="shared" si="9"/>
        <v>0</v>
      </c>
      <c r="AQ53" s="1"/>
      <c r="AR53" s="1"/>
      <c r="AS53" s="1"/>
      <c r="AT53" s="1"/>
      <c r="AU53" s="1"/>
      <c r="AV53" s="1"/>
      <c r="AW53" s="1"/>
      <c r="AX53" s="1"/>
    </row>
    <row r="54" spans="1:50" ht="15" customHeight="1" x14ac:dyDescent="0.15">
      <c r="A54" s="6"/>
      <c r="B54" s="6" t="str">
        <f>E33&amp;".2"</f>
        <v>2.2.2</v>
      </c>
      <c r="E54" s="1" t="str">
        <f>B52&amp;".1"</f>
        <v>2.2.3.1</v>
      </c>
      <c r="F54" s="1" t="s">
        <v>1974</v>
      </c>
      <c r="G54" s="1" t="s">
        <v>1983</v>
      </c>
      <c r="H54" s="1"/>
      <c r="I54" s="1">
        <v>48862.2</v>
      </c>
      <c r="J54" s="1">
        <v>0</v>
      </c>
      <c r="K54" s="1">
        <v>0</v>
      </c>
      <c r="L54" s="1">
        <v>0</v>
      </c>
      <c r="M54" s="1">
        <v>0</v>
      </c>
      <c r="N54" s="1"/>
      <c r="O54" s="1">
        <v>0</v>
      </c>
      <c r="P54" s="1">
        <v>0</v>
      </c>
      <c r="Q54" s="1">
        <v>0</v>
      </c>
      <c r="R54" s="1">
        <v>0</v>
      </c>
      <c r="S54" s="1">
        <v>0</v>
      </c>
      <c r="T54" s="1">
        <v>0</v>
      </c>
      <c r="U54" s="1">
        <v>0</v>
      </c>
      <c r="V54" s="1">
        <v>0</v>
      </c>
      <c r="W54" s="1">
        <v>0</v>
      </c>
      <c r="X54" s="1">
        <v>0</v>
      </c>
      <c r="Y54" s="1">
        <v>0</v>
      </c>
      <c r="Z54" s="1">
        <v>0</v>
      </c>
      <c r="AA54" s="1">
        <v>0</v>
      </c>
      <c r="AB54" s="1">
        <v>0</v>
      </c>
      <c r="AC54" s="1">
        <v>0</v>
      </c>
      <c r="AD54" s="1">
        <v>0</v>
      </c>
      <c r="AE54" s="1">
        <v>0</v>
      </c>
      <c r="AF54" s="1">
        <v>0</v>
      </c>
      <c r="AG54" s="1"/>
      <c r="AH54" s="1">
        <v>0</v>
      </c>
      <c r="AI54" s="1">
        <v>0</v>
      </c>
      <c r="AJ54" s="1">
        <v>0</v>
      </c>
      <c r="AK54" s="1">
        <v>0</v>
      </c>
      <c r="AL54" s="1">
        <v>0</v>
      </c>
      <c r="AM54" s="1">
        <v>0</v>
      </c>
      <c r="AN54" s="1">
        <v>0</v>
      </c>
      <c r="AO54" s="1">
        <v>0</v>
      </c>
      <c r="AP54" s="1"/>
      <c r="AQ54" s="1"/>
      <c r="AR54" s="1"/>
      <c r="AS54" s="1"/>
      <c r="AT54" s="1"/>
      <c r="AU54" s="1"/>
      <c r="AV54" s="1"/>
      <c r="AW54" s="1"/>
      <c r="AX54" s="1"/>
    </row>
    <row r="55" spans="1:50" ht="15" customHeight="1" x14ac:dyDescent="0.15">
      <c r="A55" s="6"/>
      <c r="B55" s="6" t="str">
        <f>E33&amp;".2"</f>
        <v>2.2.2</v>
      </c>
      <c r="E55" s="1" t="str">
        <f>B52&amp;".2"</f>
        <v>2.2.3.2</v>
      </c>
      <c r="F55" s="1" t="s">
        <v>1975</v>
      </c>
      <c r="G55" s="1" t="s">
        <v>1976</v>
      </c>
      <c r="H55" s="1"/>
      <c r="I55" s="1">
        <v>5.8464999999999998</v>
      </c>
      <c r="J55" s="1">
        <v>0</v>
      </c>
      <c r="K55" s="1">
        <v>0</v>
      </c>
      <c r="L55" s="1">
        <v>0</v>
      </c>
      <c r="M55" s="1">
        <v>0</v>
      </c>
      <c r="N55" s="1"/>
      <c r="O55" s="1">
        <v>0</v>
      </c>
      <c r="P55" s="1">
        <v>0</v>
      </c>
      <c r="Q55" s="1">
        <v>0</v>
      </c>
      <c r="R55" s="1">
        <v>0</v>
      </c>
      <c r="S55" s="1">
        <v>0</v>
      </c>
      <c r="T55" s="1">
        <v>0</v>
      </c>
      <c r="U55" s="1">
        <v>0</v>
      </c>
      <c r="V55" s="1">
        <v>0</v>
      </c>
      <c r="W55" s="1">
        <v>0</v>
      </c>
      <c r="X55" s="1">
        <v>0</v>
      </c>
      <c r="Y55" s="1">
        <v>0</v>
      </c>
      <c r="Z55" s="1">
        <v>0</v>
      </c>
      <c r="AA55" s="1">
        <v>0</v>
      </c>
      <c r="AB55" s="1">
        <v>0</v>
      </c>
      <c r="AC55" s="1">
        <v>0</v>
      </c>
      <c r="AD55" s="1">
        <v>0</v>
      </c>
      <c r="AE55" s="1">
        <v>0</v>
      </c>
      <c r="AF55" s="1">
        <v>0</v>
      </c>
      <c r="AG55" s="1"/>
      <c r="AH55" s="1">
        <v>0</v>
      </c>
      <c r="AI55" s="1">
        <v>0</v>
      </c>
      <c r="AJ55" s="1">
        <v>0</v>
      </c>
      <c r="AK55" s="1">
        <v>0</v>
      </c>
      <c r="AL55" s="1">
        <v>0</v>
      </c>
      <c r="AM55" s="1">
        <v>0</v>
      </c>
      <c r="AN55" s="1">
        <v>0</v>
      </c>
      <c r="AO55" s="1">
        <v>0</v>
      </c>
      <c r="AP55" s="1"/>
      <c r="AQ55" s="1"/>
      <c r="AR55" s="1"/>
      <c r="AS55" s="1"/>
      <c r="AT55" s="1"/>
      <c r="AU55" s="1"/>
      <c r="AV55" s="1"/>
      <c r="AW55" s="1"/>
      <c r="AX55" s="1"/>
    </row>
    <row r="56" spans="1:50" ht="15" customHeight="1" x14ac:dyDescent="0.15">
      <c r="A56" s="6"/>
      <c r="B56" s="6" t="str">
        <f>E33&amp;".2"</f>
        <v>2.2.2</v>
      </c>
      <c r="E56" s="1" t="str">
        <f>B52&amp;".3"</f>
        <v>2.2.3.3</v>
      </c>
      <c r="F56" s="1" t="s">
        <v>1977</v>
      </c>
      <c r="G56" s="1" t="s">
        <v>1976</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ht="15" customHeight="1" x14ac:dyDescent="0.15">
      <c r="A57" s="6"/>
      <c r="B57" s="6" t="str">
        <f>E33&amp;".2"</f>
        <v>2.2.2</v>
      </c>
      <c r="E57" s="1" t="str">
        <f>B52&amp;".4"</f>
        <v>2.2.3.4</v>
      </c>
      <c r="F57" s="1" t="s">
        <v>1978</v>
      </c>
      <c r="G57" s="1" t="s">
        <v>1692</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ht="15" customHeight="1" x14ac:dyDescent="0.15">
      <c r="A58" s="6"/>
      <c r="B58" s="6" t="str">
        <f>E33&amp;".4"</f>
        <v>2.2.4</v>
      </c>
      <c r="C58" t="s">
        <v>1972</v>
      </c>
      <c r="D58" t="s">
        <v>90</v>
      </c>
      <c r="E58" s="1" t="str">
        <f>B58</f>
        <v>2.2.4</v>
      </c>
      <c r="F58" s="1" t="s">
        <v>1211</v>
      </c>
      <c r="G58" s="1" t="s">
        <v>1692</v>
      </c>
      <c r="H58" s="1" t="s">
        <v>1692</v>
      </c>
      <c r="I58" s="1" t="s">
        <v>1692</v>
      </c>
      <c r="J58" s="1" t="s">
        <v>1692</v>
      </c>
      <c r="K58" s="1" t="s">
        <v>1692</v>
      </c>
      <c r="L58" s="1" t="s">
        <v>1692</v>
      </c>
      <c r="M58" s="1" t="s">
        <v>1692</v>
      </c>
      <c r="N58" s="1" t="s">
        <v>1692</v>
      </c>
      <c r="O58" s="1" t="s">
        <v>1692</v>
      </c>
      <c r="P58" s="1" t="s">
        <v>1692</v>
      </c>
      <c r="Q58" s="1" t="s">
        <v>1692</v>
      </c>
      <c r="R58" s="1" t="s">
        <v>1692</v>
      </c>
      <c r="S58" s="1" t="s">
        <v>1692</v>
      </c>
      <c r="T58" s="1" t="s">
        <v>1692</v>
      </c>
      <c r="U58" s="1" t="s">
        <v>1692</v>
      </c>
      <c r="V58" s="1" t="s">
        <v>1692</v>
      </c>
      <c r="W58" s="1" t="s">
        <v>1692</v>
      </c>
      <c r="X58" s="1" t="s">
        <v>1692</v>
      </c>
      <c r="Y58" s="1" t="s">
        <v>1692</v>
      </c>
      <c r="Z58" s="1" t="s">
        <v>1692</v>
      </c>
      <c r="AA58" s="1" t="s">
        <v>1692</v>
      </c>
      <c r="AB58" s="1" t="s">
        <v>1692</v>
      </c>
      <c r="AC58" s="1" t="s">
        <v>1692</v>
      </c>
      <c r="AD58" s="1" t="s">
        <v>1692</v>
      </c>
      <c r="AE58" s="1" t="s">
        <v>1692</v>
      </c>
      <c r="AF58" s="1" t="s">
        <v>1692</v>
      </c>
      <c r="AG58" s="1" t="s">
        <v>1692</v>
      </c>
      <c r="AH58" s="1" t="s">
        <v>1692</v>
      </c>
      <c r="AI58" s="1" t="s">
        <v>1692</v>
      </c>
      <c r="AJ58" s="1" t="s">
        <v>1692</v>
      </c>
      <c r="AK58" s="1" t="s">
        <v>1692</v>
      </c>
      <c r="AL58" s="1" t="s">
        <v>1692</v>
      </c>
      <c r="AM58" s="1" t="s">
        <v>1692</v>
      </c>
      <c r="AN58" s="1" t="s">
        <v>1692</v>
      </c>
      <c r="AO58" s="1" t="s">
        <v>1692</v>
      </c>
      <c r="AP58" s="1" t="s">
        <v>1692</v>
      </c>
      <c r="AQ58" s="1"/>
      <c r="AR58" s="1"/>
      <c r="AS58" s="1"/>
      <c r="AT58" s="1"/>
      <c r="AU58" s="1"/>
      <c r="AV58" s="1"/>
      <c r="AW58" s="1"/>
      <c r="AX58" s="1"/>
    </row>
    <row r="59" spans="1:50" ht="15" hidden="1" customHeight="1" x14ac:dyDescent="0.15">
      <c r="A59" s="6"/>
      <c r="B59" s="6" t="str">
        <f>E33&amp;".3"</f>
        <v>2.2.3</v>
      </c>
      <c r="E59" s="1"/>
      <c r="F59" s="1" t="s">
        <v>1973</v>
      </c>
      <c r="G59" s="1"/>
      <c r="H59" s="1">
        <f>H60*H61+H63</f>
        <v>0</v>
      </c>
      <c r="I59" s="1">
        <f>I60*I61+I62</f>
        <v>5067878.1912264721</v>
      </c>
      <c r="J59" s="1">
        <f t="shared" ref="J59:AP59" si="10">J60*J61+J63</f>
        <v>173371.27872334755</v>
      </c>
      <c r="K59" s="1">
        <f t="shared" si="10"/>
        <v>0</v>
      </c>
      <c r="L59" s="1">
        <f t="shared" si="10"/>
        <v>128.77560999999989</v>
      </c>
      <c r="M59" s="1">
        <f t="shared" si="10"/>
        <v>68251.253827161345</v>
      </c>
      <c r="N59" s="1">
        <f t="shared" si="10"/>
        <v>6624.6467499999917</v>
      </c>
      <c r="O59" s="1">
        <f t="shared" si="10"/>
        <v>15227.618794317581</v>
      </c>
      <c r="P59" s="1">
        <f t="shared" si="10"/>
        <v>0</v>
      </c>
      <c r="Q59" s="1">
        <f t="shared" si="10"/>
        <v>0</v>
      </c>
      <c r="R59" s="1">
        <f t="shared" si="10"/>
        <v>0</v>
      </c>
      <c r="S59" s="1">
        <f t="shared" si="10"/>
        <v>2613.1612700000032</v>
      </c>
      <c r="T59" s="1">
        <f t="shared" si="10"/>
        <v>0</v>
      </c>
      <c r="U59" s="1">
        <f t="shared" si="10"/>
        <v>0</v>
      </c>
      <c r="V59" s="1">
        <f t="shared" si="10"/>
        <v>0</v>
      </c>
      <c r="W59" s="1">
        <f t="shared" si="10"/>
        <v>0</v>
      </c>
      <c r="X59" s="1">
        <f t="shared" si="10"/>
        <v>0</v>
      </c>
      <c r="Y59" s="1">
        <f t="shared" si="10"/>
        <v>0</v>
      </c>
      <c r="Z59" s="1">
        <f t="shared" si="10"/>
        <v>0</v>
      </c>
      <c r="AA59" s="1">
        <f t="shared" si="10"/>
        <v>0</v>
      </c>
      <c r="AB59" s="1">
        <f t="shared" si="10"/>
        <v>0</v>
      </c>
      <c r="AC59" s="1">
        <f t="shared" si="10"/>
        <v>0</v>
      </c>
      <c r="AD59" s="1">
        <f t="shared" si="10"/>
        <v>0</v>
      </c>
      <c r="AE59" s="1">
        <f t="shared" si="10"/>
        <v>0</v>
      </c>
      <c r="AF59" s="1">
        <f t="shared" si="10"/>
        <v>0</v>
      </c>
      <c r="AG59" s="1">
        <f t="shared" si="10"/>
        <v>0</v>
      </c>
      <c r="AH59" s="1">
        <f t="shared" si="10"/>
        <v>0</v>
      </c>
      <c r="AI59" s="1">
        <f t="shared" si="10"/>
        <v>2310.5039500000003</v>
      </c>
      <c r="AJ59" s="1">
        <f t="shared" si="10"/>
        <v>963.95258999999714</v>
      </c>
      <c r="AK59" s="1">
        <f t="shared" si="10"/>
        <v>0</v>
      </c>
      <c r="AL59" s="1">
        <f t="shared" si="10"/>
        <v>0</v>
      </c>
      <c r="AM59" s="1">
        <f t="shared" si="10"/>
        <v>0</v>
      </c>
      <c r="AN59" s="1">
        <f t="shared" si="10"/>
        <v>0</v>
      </c>
      <c r="AO59" s="1">
        <f t="shared" si="10"/>
        <v>0</v>
      </c>
      <c r="AP59" s="1">
        <f t="shared" si="10"/>
        <v>0</v>
      </c>
      <c r="AQ59" s="1"/>
      <c r="AR59" s="1"/>
      <c r="AS59" s="1"/>
      <c r="AT59" s="1"/>
      <c r="AU59" s="1"/>
      <c r="AV59" s="1"/>
      <c r="AW59" s="1"/>
      <c r="AX59" s="1"/>
    </row>
    <row r="60" spans="1:50" ht="15" customHeight="1" x14ac:dyDescent="0.15">
      <c r="A60" s="6"/>
      <c r="B60" s="6" t="str">
        <f>E33&amp;".3"</f>
        <v>2.2.3</v>
      </c>
      <c r="E60" s="1" t="str">
        <f>B58&amp;".1"</f>
        <v>2.2.4.1</v>
      </c>
      <c r="F60" s="1" t="s">
        <v>1974</v>
      </c>
      <c r="G60" s="1" t="s">
        <v>1983</v>
      </c>
      <c r="H60" s="1"/>
      <c r="I60" s="1">
        <v>176602.89</v>
      </c>
      <c r="J60" s="1">
        <v>5935.68</v>
      </c>
      <c r="K60" s="1">
        <v>0</v>
      </c>
      <c r="L60" s="1">
        <v>4.5572118790375402</v>
      </c>
      <c r="M60" s="1">
        <v>2345.4039115863002</v>
      </c>
      <c r="N60" s="1">
        <v>224.28429035529501</v>
      </c>
      <c r="O60" s="1">
        <v>538.48</v>
      </c>
      <c r="P60" s="1">
        <v>0</v>
      </c>
      <c r="Q60" s="1">
        <v>0</v>
      </c>
      <c r="R60" s="1">
        <v>0</v>
      </c>
      <c r="S60" s="1">
        <v>90.807344787898501</v>
      </c>
      <c r="T60" s="1">
        <v>0</v>
      </c>
      <c r="U60" s="1">
        <v>0</v>
      </c>
      <c r="V60" s="1">
        <v>0</v>
      </c>
      <c r="W60" s="1">
        <v>0</v>
      </c>
      <c r="X60" s="1">
        <v>0</v>
      </c>
      <c r="Y60" s="1">
        <v>0</v>
      </c>
      <c r="Z60" s="1">
        <v>0</v>
      </c>
      <c r="AA60" s="1">
        <v>0</v>
      </c>
      <c r="AB60" s="1">
        <v>0</v>
      </c>
      <c r="AC60" s="1">
        <v>0</v>
      </c>
      <c r="AD60" s="1">
        <v>0</v>
      </c>
      <c r="AE60" s="1">
        <v>0</v>
      </c>
      <c r="AF60" s="1">
        <v>0</v>
      </c>
      <c r="AG60" s="1"/>
      <c r="AH60" s="1">
        <v>0</v>
      </c>
      <c r="AI60" s="1">
        <v>82.723056335643605</v>
      </c>
      <c r="AJ60" s="1">
        <v>33.002664291018299</v>
      </c>
      <c r="AK60" s="1">
        <v>0</v>
      </c>
      <c r="AL60" s="1">
        <v>0</v>
      </c>
      <c r="AM60" s="1">
        <v>0</v>
      </c>
      <c r="AN60" s="1">
        <v>0</v>
      </c>
      <c r="AO60" s="1">
        <v>0</v>
      </c>
      <c r="AP60" s="1"/>
      <c r="AQ60" s="1"/>
      <c r="AR60" s="1"/>
      <c r="AS60" s="1"/>
      <c r="AT60" s="1"/>
      <c r="AU60" s="1"/>
      <c r="AV60" s="1"/>
      <c r="AW60" s="1"/>
      <c r="AX60" s="1"/>
    </row>
    <row r="61" spans="1:50" ht="15" customHeight="1" x14ac:dyDescent="0.15">
      <c r="A61" s="6"/>
      <c r="B61" s="6" t="str">
        <f>E33&amp;".3"</f>
        <v>2.2.3</v>
      </c>
      <c r="E61" s="1" t="str">
        <f>B58&amp;".2"</f>
        <v>2.2.4.2</v>
      </c>
      <c r="F61" s="1" t="s">
        <v>1975</v>
      </c>
      <c r="G61" s="1" t="s">
        <v>1976</v>
      </c>
      <c r="H61" s="1"/>
      <c r="I61" s="1">
        <v>28.696462392130002</v>
      </c>
      <c r="J61" s="1">
        <v>29.208326379344498</v>
      </c>
      <c r="K61" s="1">
        <v>0</v>
      </c>
      <c r="L61" s="1">
        <v>28.257542861315599</v>
      </c>
      <c r="M61" s="1">
        <v>29.1</v>
      </c>
      <c r="N61" s="1">
        <v>29.536829081991002</v>
      </c>
      <c r="O61" s="1">
        <v>28.2788939130842</v>
      </c>
      <c r="P61" s="1">
        <v>0</v>
      </c>
      <c r="Q61" s="1">
        <v>0</v>
      </c>
      <c r="R61" s="1">
        <v>0</v>
      </c>
      <c r="S61" s="1">
        <v>28.776981378583901</v>
      </c>
      <c r="T61" s="1">
        <v>0</v>
      </c>
      <c r="U61" s="1">
        <v>0</v>
      </c>
      <c r="V61" s="1">
        <v>0</v>
      </c>
      <c r="W61" s="1">
        <v>0</v>
      </c>
      <c r="X61" s="1">
        <v>0</v>
      </c>
      <c r="Y61" s="1">
        <v>0</v>
      </c>
      <c r="Z61" s="1">
        <v>0</v>
      </c>
      <c r="AA61" s="1">
        <v>0</v>
      </c>
      <c r="AB61" s="1">
        <v>0</v>
      </c>
      <c r="AC61" s="1">
        <v>0</v>
      </c>
      <c r="AD61" s="1">
        <v>0</v>
      </c>
      <c r="AE61" s="1">
        <v>0</v>
      </c>
      <c r="AF61" s="1">
        <v>0</v>
      </c>
      <c r="AG61" s="1"/>
      <c r="AH61" s="1">
        <v>0</v>
      </c>
      <c r="AI61" s="1">
        <v>27.9305921752368</v>
      </c>
      <c r="AJ61" s="1">
        <v>29.208326379344399</v>
      </c>
      <c r="AK61" s="1">
        <v>0</v>
      </c>
      <c r="AL61" s="1">
        <v>0</v>
      </c>
      <c r="AM61" s="1">
        <v>0</v>
      </c>
      <c r="AN61" s="1">
        <v>0</v>
      </c>
      <c r="AO61" s="1">
        <v>0</v>
      </c>
      <c r="AP61" s="1"/>
      <c r="AQ61" s="1"/>
      <c r="AR61" s="1"/>
      <c r="AS61" s="1"/>
      <c r="AT61" s="1"/>
      <c r="AU61" s="1"/>
      <c r="AV61" s="1"/>
      <c r="AW61" s="1"/>
      <c r="AX61" s="1"/>
    </row>
    <row r="62" spans="1:50" ht="15" customHeight="1" x14ac:dyDescent="0.15">
      <c r="A62" s="6"/>
      <c r="B62" s="6" t="str">
        <f>E33&amp;".3"</f>
        <v>2.2.3</v>
      </c>
      <c r="E62" s="1" t="str">
        <f>B58&amp;".3"</f>
        <v>2.2.4.3</v>
      </c>
      <c r="F62" s="1" t="s">
        <v>1977</v>
      </c>
      <c r="G62" s="1" t="s">
        <v>1976</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ht="15" customHeight="1" x14ac:dyDescent="0.15">
      <c r="A63" s="6"/>
      <c r="B63" s="6" t="str">
        <f>E33&amp;".3"</f>
        <v>2.2.3</v>
      </c>
      <c r="E63" s="1" t="str">
        <f>B58&amp;".4"</f>
        <v>2.2.4.4</v>
      </c>
      <c r="F63" s="1" t="s">
        <v>1978</v>
      </c>
      <c r="G63" s="1" t="s">
        <v>1692</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ht="15" customHeight="1" x14ac:dyDescent="0.15">
      <c r="A64" s="6"/>
      <c r="B64" s="6" t="str">
        <f>E33&amp;".5"</f>
        <v>2.2.5</v>
      </c>
      <c r="C64" t="s">
        <v>1972</v>
      </c>
      <c r="D64" t="s">
        <v>90</v>
      </c>
      <c r="E64" s="1" t="str">
        <f>B64</f>
        <v>2.2.5</v>
      </c>
      <c r="F64" s="1" t="s">
        <v>1142</v>
      </c>
      <c r="G64" s="1" t="s">
        <v>1692</v>
      </c>
      <c r="H64" s="1" t="s">
        <v>1692</v>
      </c>
      <c r="I64" s="1" t="s">
        <v>1692</v>
      </c>
      <c r="J64" s="1" t="s">
        <v>1692</v>
      </c>
      <c r="K64" s="1" t="s">
        <v>1692</v>
      </c>
      <c r="L64" s="1" t="s">
        <v>1692</v>
      </c>
      <c r="M64" s="1" t="s">
        <v>1692</v>
      </c>
      <c r="N64" s="1" t="s">
        <v>1692</v>
      </c>
      <c r="O64" s="1" t="s">
        <v>1692</v>
      </c>
      <c r="P64" s="1" t="s">
        <v>1692</v>
      </c>
      <c r="Q64" s="1" t="s">
        <v>1692</v>
      </c>
      <c r="R64" s="1" t="s">
        <v>1692</v>
      </c>
      <c r="S64" s="1" t="s">
        <v>1692</v>
      </c>
      <c r="T64" s="1" t="s">
        <v>1692</v>
      </c>
      <c r="U64" s="1" t="s">
        <v>1692</v>
      </c>
      <c r="V64" s="1" t="s">
        <v>1692</v>
      </c>
      <c r="W64" s="1" t="s">
        <v>1692</v>
      </c>
      <c r="X64" s="1" t="s">
        <v>1692</v>
      </c>
      <c r="Y64" s="1" t="s">
        <v>1692</v>
      </c>
      <c r="Z64" s="1" t="s">
        <v>1692</v>
      </c>
      <c r="AA64" s="1" t="s">
        <v>1692</v>
      </c>
      <c r="AB64" s="1" t="s">
        <v>1692</v>
      </c>
      <c r="AC64" s="1" t="s">
        <v>1692</v>
      </c>
      <c r="AD64" s="1" t="s">
        <v>1692</v>
      </c>
      <c r="AE64" s="1" t="s">
        <v>1692</v>
      </c>
      <c r="AF64" s="1" t="s">
        <v>1692</v>
      </c>
      <c r="AG64" s="1" t="s">
        <v>1692</v>
      </c>
      <c r="AH64" s="1" t="s">
        <v>1692</v>
      </c>
      <c r="AI64" s="1" t="s">
        <v>1692</v>
      </c>
      <c r="AJ64" s="1" t="s">
        <v>1692</v>
      </c>
      <c r="AK64" s="1" t="s">
        <v>1692</v>
      </c>
      <c r="AL64" s="1" t="s">
        <v>1692</v>
      </c>
      <c r="AM64" s="1" t="s">
        <v>1692</v>
      </c>
      <c r="AN64" s="1" t="s">
        <v>1692</v>
      </c>
      <c r="AO64" s="1" t="s">
        <v>1692</v>
      </c>
      <c r="AP64" s="1" t="s">
        <v>1692</v>
      </c>
      <c r="AQ64" s="1"/>
      <c r="AR64" s="1"/>
      <c r="AS64" s="1"/>
      <c r="AT64" s="1"/>
      <c r="AU64" s="1"/>
      <c r="AV64" s="1"/>
      <c r="AW64" s="1"/>
      <c r="AX64" s="1"/>
    </row>
    <row r="65" spans="1:50" ht="15" hidden="1" customHeight="1" x14ac:dyDescent="0.15">
      <c r="A65" s="6"/>
      <c r="B65" s="6" t="str">
        <f>E33&amp;".4"</f>
        <v>2.2.4</v>
      </c>
      <c r="E65" s="1"/>
      <c r="F65" s="1" t="s">
        <v>1973</v>
      </c>
      <c r="G65" s="1"/>
      <c r="H65" s="1">
        <f>H66*H67+H69</f>
        <v>0</v>
      </c>
      <c r="I65" s="1">
        <f>I66*I67+I68</f>
        <v>12914.594920000012</v>
      </c>
      <c r="J65" s="1">
        <f t="shared" ref="J65:AP65" si="11">J66*J67+J69</f>
        <v>0</v>
      </c>
      <c r="K65" s="1">
        <f t="shared" si="11"/>
        <v>0</v>
      </c>
      <c r="L65" s="1">
        <f t="shared" si="11"/>
        <v>0</v>
      </c>
      <c r="M65" s="1">
        <f t="shared" si="11"/>
        <v>0</v>
      </c>
      <c r="N65" s="1">
        <f t="shared" si="11"/>
        <v>0</v>
      </c>
      <c r="O65" s="1">
        <f t="shared" si="11"/>
        <v>0</v>
      </c>
      <c r="P65" s="1">
        <f t="shared" si="11"/>
        <v>0</v>
      </c>
      <c r="Q65" s="1">
        <f t="shared" si="11"/>
        <v>0</v>
      </c>
      <c r="R65" s="1">
        <f t="shared" si="11"/>
        <v>0</v>
      </c>
      <c r="S65" s="1">
        <f t="shared" si="11"/>
        <v>0</v>
      </c>
      <c r="T65" s="1">
        <f t="shared" si="11"/>
        <v>0</v>
      </c>
      <c r="U65" s="1">
        <f t="shared" si="11"/>
        <v>0</v>
      </c>
      <c r="V65" s="1">
        <f t="shared" si="11"/>
        <v>0</v>
      </c>
      <c r="W65" s="1">
        <f t="shared" si="11"/>
        <v>0</v>
      </c>
      <c r="X65" s="1">
        <f t="shared" si="11"/>
        <v>0</v>
      </c>
      <c r="Y65" s="1">
        <f t="shared" si="11"/>
        <v>0</v>
      </c>
      <c r="Z65" s="1">
        <f t="shared" si="11"/>
        <v>0</v>
      </c>
      <c r="AA65" s="1">
        <f t="shared" si="11"/>
        <v>0</v>
      </c>
      <c r="AB65" s="1">
        <f t="shared" si="11"/>
        <v>0</v>
      </c>
      <c r="AC65" s="1">
        <f t="shared" si="11"/>
        <v>0</v>
      </c>
      <c r="AD65" s="1">
        <f t="shared" si="11"/>
        <v>0</v>
      </c>
      <c r="AE65" s="1">
        <f t="shared" si="11"/>
        <v>0</v>
      </c>
      <c r="AF65" s="1">
        <f t="shared" si="11"/>
        <v>0</v>
      </c>
      <c r="AG65" s="1">
        <f t="shared" si="11"/>
        <v>0</v>
      </c>
      <c r="AH65" s="1">
        <f t="shared" si="11"/>
        <v>0</v>
      </c>
      <c r="AI65" s="1">
        <f t="shared" si="11"/>
        <v>0</v>
      </c>
      <c r="AJ65" s="1">
        <f t="shared" si="11"/>
        <v>0</v>
      </c>
      <c r="AK65" s="1">
        <f t="shared" si="11"/>
        <v>0</v>
      </c>
      <c r="AL65" s="1">
        <f t="shared" si="11"/>
        <v>0</v>
      </c>
      <c r="AM65" s="1">
        <f t="shared" si="11"/>
        <v>0</v>
      </c>
      <c r="AN65" s="1">
        <f t="shared" si="11"/>
        <v>0</v>
      </c>
      <c r="AO65" s="1">
        <f t="shared" si="11"/>
        <v>0</v>
      </c>
      <c r="AP65" s="1">
        <f t="shared" si="11"/>
        <v>0</v>
      </c>
      <c r="AQ65" s="1"/>
      <c r="AR65" s="1"/>
      <c r="AS65" s="1"/>
      <c r="AT65" s="1"/>
      <c r="AU65" s="1"/>
      <c r="AV65" s="1"/>
      <c r="AW65" s="1"/>
      <c r="AX65" s="1"/>
    </row>
    <row r="66" spans="1:50" ht="15" customHeight="1" x14ac:dyDescent="0.15">
      <c r="A66" s="6"/>
      <c r="B66" s="6" t="str">
        <f>E33&amp;".4"</f>
        <v>2.2.4</v>
      </c>
      <c r="E66" s="1" t="str">
        <f>B64&amp;".1"</f>
        <v>2.2.5.1</v>
      </c>
      <c r="F66" s="1" t="s">
        <v>1974</v>
      </c>
      <c r="G66" s="1" t="s">
        <v>1143</v>
      </c>
      <c r="H66" s="1"/>
      <c r="I66" s="1">
        <v>343.113</v>
      </c>
      <c r="J66" s="1">
        <v>0</v>
      </c>
      <c r="K66" s="1">
        <v>0</v>
      </c>
      <c r="L66" s="1">
        <v>0</v>
      </c>
      <c r="M66" s="1">
        <v>0</v>
      </c>
      <c r="N66" s="1">
        <v>0</v>
      </c>
      <c r="O66" s="1">
        <v>0</v>
      </c>
      <c r="P66" s="1">
        <v>0</v>
      </c>
      <c r="Q66" s="1">
        <v>0</v>
      </c>
      <c r="R66" s="1">
        <v>0</v>
      </c>
      <c r="S66" s="1">
        <v>0</v>
      </c>
      <c r="T66" s="1">
        <v>0</v>
      </c>
      <c r="U66" s="1">
        <v>0</v>
      </c>
      <c r="V66" s="1">
        <v>0</v>
      </c>
      <c r="W66" s="1">
        <v>0</v>
      </c>
      <c r="X66" s="1">
        <v>0</v>
      </c>
      <c r="Y66" s="1">
        <v>0</v>
      </c>
      <c r="Z66" s="1">
        <v>0</v>
      </c>
      <c r="AA66" s="1">
        <v>0</v>
      </c>
      <c r="AB66" s="1">
        <v>0</v>
      </c>
      <c r="AC66" s="1">
        <v>0</v>
      </c>
      <c r="AD66" s="1">
        <v>0</v>
      </c>
      <c r="AE66" s="1">
        <v>0</v>
      </c>
      <c r="AF66" s="1">
        <v>0</v>
      </c>
      <c r="AG66" s="1"/>
      <c r="AH66" s="1">
        <v>0</v>
      </c>
      <c r="AI66" s="1">
        <v>0</v>
      </c>
      <c r="AJ66" s="1">
        <v>0</v>
      </c>
      <c r="AK66" s="1">
        <v>0</v>
      </c>
      <c r="AL66" s="1">
        <v>0</v>
      </c>
      <c r="AM66" s="1">
        <v>0</v>
      </c>
      <c r="AN66" s="1">
        <v>0</v>
      </c>
      <c r="AO66" s="1">
        <v>0</v>
      </c>
      <c r="AP66" s="1"/>
      <c r="AQ66" s="1"/>
      <c r="AR66" s="1"/>
      <c r="AS66" s="1"/>
      <c r="AT66" s="1"/>
      <c r="AU66" s="1"/>
      <c r="AV66" s="1"/>
      <c r="AW66" s="1"/>
      <c r="AX66" s="1"/>
    </row>
    <row r="67" spans="1:50" ht="15" customHeight="1" x14ac:dyDescent="0.15">
      <c r="A67" s="6"/>
      <c r="B67" s="6" t="str">
        <f>E33&amp;".4"</f>
        <v>2.2.4</v>
      </c>
      <c r="E67" s="1" t="str">
        <f>B64&amp;".2"</f>
        <v>2.2.5.2</v>
      </c>
      <c r="F67" s="1" t="s">
        <v>1975</v>
      </c>
      <c r="G67" s="1" t="s">
        <v>1976</v>
      </c>
      <c r="H67" s="1"/>
      <c r="I67" s="1">
        <v>37.6394800546759</v>
      </c>
      <c r="J67" s="1">
        <v>0</v>
      </c>
      <c r="K67" s="1">
        <v>0</v>
      </c>
      <c r="L67" s="1">
        <v>0</v>
      </c>
      <c r="M67" s="1">
        <v>0</v>
      </c>
      <c r="N67" s="1">
        <v>0</v>
      </c>
      <c r="O67" s="1">
        <v>0</v>
      </c>
      <c r="P67" s="1">
        <v>0</v>
      </c>
      <c r="Q67" s="1">
        <v>0</v>
      </c>
      <c r="R67" s="1">
        <v>0</v>
      </c>
      <c r="S67" s="1">
        <v>0</v>
      </c>
      <c r="T67" s="1">
        <v>0</v>
      </c>
      <c r="U67" s="1">
        <v>0</v>
      </c>
      <c r="V67" s="1">
        <v>0</v>
      </c>
      <c r="W67" s="1">
        <v>0</v>
      </c>
      <c r="X67" s="1">
        <v>0</v>
      </c>
      <c r="Y67" s="1">
        <v>0</v>
      </c>
      <c r="Z67" s="1">
        <v>0</v>
      </c>
      <c r="AA67" s="1">
        <v>0</v>
      </c>
      <c r="AB67" s="1">
        <v>0</v>
      </c>
      <c r="AC67" s="1">
        <v>0</v>
      </c>
      <c r="AD67" s="1">
        <v>0</v>
      </c>
      <c r="AE67" s="1">
        <v>0</v>
      </c>
      <c r="AF67" s="1">
        <v>0</v>
      </c>
      <c r="AG67" s="1"/>
      <c r="AH67" s="1">
        <v>0</v>
      </c>
      <c r="AI67" s="1">
        <v>0</v>
      </c>
      <c r="AJ67" s="1">
        <v>0</v>
      </c>
      <c r="AK67" s="1">
        <v>0</v>
      </c>
      <c r="AL67" s="1">
        <v>0</v>
      </c>
      <c r="AM67" s="1">
        <v>0</v>
      </c>
      <c r="AN67" s="1">
        <v>0</v>
      </c>
      <c r="AO67" s="1">
        <v>0</v>
      </c>
      <c r="AP67" s="1"/>
      <c r="AQ67" s="1"/>
      <c r="AR67" s="1"/>
      <c r="AS67" s="1"/>
      <c r="AT67" s="1"/>
      <c r="AU67" s="1"/>
      <c r="AV67" s="1"/>
      <c r="AW67" s="1"/>
      <c r="AX67" s="1"/>
    </row>
    <row r="68" spans="1:50" ht="15" customHeight="1" x14ac:dyDescent="0.15">
      <c r="A68" s="6"/>
      <c r="B68" s="6" t="str">
        <f>E33&amp;".4"</f>
        <v>2.2.4</v>
      </c>
      <c r="E68" s="1" t="str">
        <f>B64&amp;".3"</f>
        <v>2.2.5.3</v>
      </c>
      <c r="F68" s="1" t="s">
        <v>1977</v>
      </c>
      <c r="G68" s="1" t="s">
        <v>1976</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ht="15" customHeight="1" x14ac:dyDescent="0.15">
      <c r="A69" s="6"/>
      <c r="B69" s="6" t="str">
        <f>E33&amp;".4"</f>
        <v>2.2.4</v>
      </c>
      <c r="E69" s="1" t="str">
        <f>B64&amp;".4"</f>
        <v>2.2.5.4</v>
      </c>
      <c r="F69" s="1" t="s">
        <v>1978</v>
      </c>
      <c r="G69" s="1" t="s">
        <v>1692</v>
      </c>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ht="15" customHeight="1" x14ac:dyDescent="0.15">
      <c r="A70" s="6"/>
      <c r="B70" s="6" t="str">
        <f>E33&amp;".6"</f>
        <v>2.2.6</v>
      </c>
      <c r="C70" t="s">
        <v>1972</v>
      </c>
      <c r="D70" t="s">
        <v>90</v>
      </c>
      <c r="E70" s="1" t="str">
        <f>B70</f>
        <v>2.2.6</v>
      </c>
      <c r="F70" s="1" t="s">
        <v>1080</v>
      </c>
      <c r="G70" s="1" t="s">
        <v>1692</v>
      </c>
      <c r="H70" s="1" t="s">
        <v>1692</v>
      </c>
      <c r="I70" s="1" t="s">
        <v>1692</v>
      </c>
      <c r="J70" s="1" t="s">
        <v>1692</v>
      </c>
      <c r="K70" s="1" t="s">
        <v>1692</v>
      </c>
      <c r="L70" s="1" t="s">
        <v>1692</v>
      </c>
      <c r="M70" s="1" t="s">
        <v>1692</v>
      </c>
      <c r="N70" s="1" t="s">
        <v>1692</v>
      </c>
      <c r="O70" s="1" t="s">
        <v>1692</v>
      </c>
      <c r="P70" s="1" t="s">
        <v>1692</v>
      </c>
      <c r="Q70" s="1" t="s">
        <v>1692</v>
      </c>
      <c r="R70" s="1" t="s">
        <v>1692</v>
      </c>
      <c r="S70" s="1" t="s">
        <v>1692</v>
      </c>
      <c r="T70" s="1" t="s">
        <v>1692</v>
      </c>
      <c r="U70" s="1" t="s">
        <v>1692</v>
      </c>
      <c r="V70" s="1" t="s">
        <v>1692</v>
      </c>
      <c r="W70" s="1" t="s">
        <v>1692</v>
      </c>
      <c r="X70" s="1" t="s">
        <v>1692</v>
      </c>
      <c r="Y70" s="1" t="s">
        <v>1692</v>
      </c>
      <c r="Z70" s="1" t="s">
        <v>1692</v>
      </c>
      <c r="AA70" s="1" t="s">
        <v>1692</v>
      </c>
      <c r="AB70" s="1" t="s">
        <v>1692</v>
      </c>
      <c r="AC70" s="1" t="s">
        <v>1692</v>
      </c>
      <c r="AD70" s="1" t="s">
        <v>1692</v>
      </c>
      <c r="AE70" s="1" t="s">
        <v>1692</v>
      </c>
      <c r="AF70" s="1" t="s">
        <v>1692</v>
      </c>
      <c r="AG70" s="1" t="s">
        <v>1692</v>
      </c>
      <c r="AH70" s="1" t="s">
        <v>1692</v>
      </c>
      <c r="AI70" s="1" t="s">
        <v>1692</v>
      </c>
      <c r="AJ70" s="1" t="s">
        <v>1692</v>
      </c>
      <c r="AK70" s="1" t="s">
        <v>1692</v>
      </c>
      <c r="AL70" s="1" t="s">
        <v>1692</v>
      </c>
      <c r="AM70" s="1" t="s">
        <v>1692</v>
      </c>
      <c r="AN70" s="1" t="s">
        <v>1692</v>
      </c>
      <c r="AO70" s="1" t="s">
        <v>1692</v>
      </c>
      <c r="AP70" s="1" t="s">
        <v>1692</v>
      </c>
      <c r="AQ70" s="1"/>
      <c r="AR70" s="1"/>
      <c r="AS70" s="1"/>
      <c r="AT70" s="1"/>
      <c r="AU70" s="1"/>
      <c r="AV70" s="1"/>
      <c r="AW70" s="1"/>
      <c r="AX70" s="1"/>
    </row>
    <row r="71" spans="1:50" ht="15" hidden="1" customHeight="1" x14ac:dyDescent="0.15">
      <c r="A71" s="6"/>
      <c r="B71" s="6" t="str">
        <f>E33&amp;".5"</f>
        <v>2.2.5</v>
      </c>
      <c r="E71" s="1"/>
      <c r="F71" s="1" t="s">
        <v>1973</v>
      </c>
      <c r="G71" s="1"/>
      <c r="H71" s="1">
        <f>H72*H73+H75</f>
        <v>0</v>
      </c>
      <c r="I71" s="1">
        <f>I72*I73+I74</f>
        <v>3929.5054200000018</v>
      </c>
      <c r="J71" s="1">
        <f t="shared" ref="J71:AP71" si="12">J72*J73+J75</f>
        <v>0</v>
      </c>
      <c r="K71" s="1">
        <f t="shared" si="12"/>
        <v>11623.336310000001</v>
      </c>
      <c r="L71" s="1">
        <f t="shared" si="12"/>
        <v>0</v>
      </c>
      <c r="M71" s="1">
        <f t="shared" si="12"/>
        <v>0</v>
      </c>
      <c r="N71" s="1">
        <f t="shared" si="12"/>
        <v>0</v>
      </c>
      <c r="O71" s="1">
        <f t="shared" si="12"/>
        <v>0</v>
      </c>
      <c r="P71" s="1">
        <f t="shared" si="12"/>
        <v>0</v>
      </c>
      <c r="Q71" s="1">
        <f t="shared" si="12"/>
        <v>0</v>
      </c>
      <c r="R71" s="1">
        <f t="shared" si="12"/>
        <v>0</v>
      </c>
      <c r="S71" s="1">
        <f t="shared" si="12"/>
        <v>0</v>
      </c>
      <c r="T71" s="1">
        <f t="shared" si="12"/>
        <v>0</v>
      </c>
      <c r="U71" s="1">
        <f t="shared" si="12"/>
        <v>0</v>
      </c>
      <c r="V71" s="1">
        <f t="shared" si="12"/>
        <v>0</v>
      </c>
      <c r="W71" s="1">
        <f t="shared" si="12"/>
        <v>0</v>
      </c>
      <c r="X71" s="1">
        <f t="shared" si="12"/>
        <v>0</v>
      </c>
      <c r="Y71" s="1">
        <f t="shared" si="12"/>
        <v>0</v>
      </c>
      <c r="Z71" s="1">
        <f t="shared" si="12"/>
        <v>0</v>
      </c>
      <c r="AA71" s="1">
        <f t="shared" si="12"/>
        <v>0</v>
      </c>
      <c r="AB71" s="1">
        <f t="shared" si="12"/>
        <v>0</v>
      </c>
      <c r="AC71" s="1">
        <f t="shared" si="12"/>
        <v>0</v>
      </c>
      <c r="AD71" s="1">
        <f t="shared" si="12"/>
        <v>0</v>
      </c>
      <c r="AE71" s="1">
        <f t="shared" si="12"/>
        <v>0</v>
      </c>
      <c r="AF71" s="1">
        <f t="shared" si="12"/>
        <v>0</v>
      </c>
      <c r="AG71" s="1">
        <f t="shared" si="12"/>
        <v>0</v>
      </c>
      <c r="AH71" s="1">
        <f t="shared" si="12"/>
        <v>0</v>
      </c>
      <c r="AI71" s="1">
        <f t="shared" si="12"/>
        <v>0</v>
      </c>
      <c r="AJ71" s="1">
        <f t="shared" si="12"/>
        <v>0</v>
      </c>
      <c r="AK71" s="1">
        <f t="shared" si="12"/>
        <v>0</v>
      </c>
      <c r="AL71" s="1">
        <f t="shared" si="12"/>
        <v>0</v>
      </c>
      <c r="AM71" s="1">
        <f t="shared" si="12"/>
        <v>0</v>
      </c>
      <c r="AN71" s="1">
        <f t="shared" si="12"/>
        <v>0</v>
      </c>
      <c r="AO71" s="1">
        <f t="shared" si="12"/>
        <v>0</v>
      </c>
      <c r="AP71" s="1">
        <f t="shared" si="12"/>
        <v>0</v>
      </c>
      <c r="AQ71" s="1"/>
      <c r="AR71" s="1"/>
      <c r="AS71" s="1"/>
      <c r="AT71" s="1"/>
      <c r="AU71" s="1"/>
      <c r="AV71" s="1"/>
      <c r="AW71" s="1"/>
      <c r="AX71" s="1"/>
    </row>
    <row r="72" spans="1:50" ht="15" customHeight="1" x14ac:dyDescent="0.15">
      <c r="A72" s="6"/>
      <c r="B72" s="6" t="str">
        <f>E33&amp;".5"</f>
        <v>2.2.5</v>
      </c>
      <c r="E72" s="1" t="str">
        <f>B70&amp;".1"</f>
        <v>2.2.6.1</v>
      </c>
      <c r="F72" s="1" t="s">
        <v>1974</v>
      </c>
      <c r="G72" s="1" t="s">
        <v>1081</v>
      </c>
      <c r="H72" s="1"/>
      <c r="I72" s="1">
        <v>456.71600000000001</v>
      </c>
      <c r="J72" s="1">
        <v>0</v>
      </c>
      <c r="K72" s="1">
        <v>1439.39</v>
      </c>
      <c r="L72" s="1">
        <v>0</v>
      </c>
      <c r="M72" s="1">
        <v>0</v>
      </c>
      <c r="N72" s="1">
        <v>0</v>
      </c>
      <c r="O72" s="1">
        <v>0</v>
      </c>
      <c r="P72" s="1">
        <v>0</v>
      </c>
      <c r="Q72" s="1">
        <v>0</v>
      </c>
      <c r="R72" s="1">
        <v>0</v>
      </c>
      <c r="S72" s="1">
        <v>0</v>
      </c>
      <c r="T72" s="1">
        <v>0</v>
      </c>
      <c r="U72" s="1">
        <v>0</v>
      </c>
      <c r="V72" s="1">
        <v>0</v>
      </c>
      <c r="W72" s="1">
        <v>0</v>
      </c>
      <c r="X72" s="1">
        <v>0</v>
      </c>
      <c r="Y72" s="1">
        <v>0</v>
      </c>
      <c r="Z72" s="1">
        <v>0</v>
      </c>
      <c r="AA72" s="1">
        <v>0</v>
      </c>
      <c r="AB72" s="1">
        <v>0</v>
      </c>
      <c r="AC72" s="1">
        <v>0</v>
      </c>
      <c r="AD72" s="1">
        <v>0</v>
      </c>
      <c r="AE72" s="1">
        <v>0</v>
      </c>
      <c r="AF72" s="1">
        <v>0</v>
      </c>
      <c r="AG72" s="1"/>
      <c r="AH72" s="1">
        <v>0</v>
      </c>
      <c r="AI72" s="1">
        <v>0</v>
      </c>
      <c r="AJ72" s="1">
        <v>0</v>
      </c>
      <c r="AK72" s="1">
        <v>0</v>
      </c>
      <c r="AL72" s="1">
        <v>0</v>
      </c>
      <c r="AM72" s="1">
        <v>0</v>
      </c>
      <c r="AN72" s="1">
        <v>0</v>
      </c>
      <c r="AO72" s="1">
        <v>0</v>
      </c>
      <c r="AP72" s="1"/>
      <c r="AQ72" s="1"/>
      <c r="AR72" s="1"/>
      <c r="AS72" s="1"/>
      <c r="AT72" s="1"/>
      <c r="AU72" s="1"/>
      <c r="AV72" s="1"/>
      <c r="AW72" s="1"/>
      <c r="AX72" s="1"/>
    </row>
    <row r="73" spans="1:50" ht="15" customHeight="1" x14ac:dyDescent="0.15">
      <c r="A73" s="6"/>
      <c r="B73" s="6" t="str">
        <f>E33&amp;".5"</f>
        <v>2.2.5</v>
      </c>
      <c r="E73" s="1" t="str">
        <f>B70&amp;".2"</f>
        <v>2.2.6.2</v>
      </c>
      <c r="F73" s="1" t="s">
        <v>1975</v>
      </c>
      <c r="G73" s="1" t="s">
        <v>1976</v>
      </c>
      <c r="H73" s="1"/>
      <c r="I73" s="1">
        <v>8.6038269296455603</v>
      </c>
      <c r="J73" s="1">
        <v>0</v>
      </c>
      <c r="K73" s="1">
        <v>8.0751820632351201</v>
      </c>
      <c r="L73" s="1">
        <v>0</v>
      </c>
      <c r="M73" s="1">
        <v>0</v>
      </c>
      <c r="N73" s="1">
        <v>0</v>
      </c>
      <c r="O73" s="1">
        <v>0</v>
      </c>
      <c r="P73" s="1">
        <v>0</v>
      </c>
      <c r="Q73" s="1">
        <v>0</v>
      </c>
      <c r="R73" s="1">
        <v>0</v>
      </c>
      <c r="S73" s="1">
        <v>0</v>
      </c>
      <c r="T73" s="1">
        <v>0</v>
      </c>
      <c r="U73" s="1">
        <v>0</v>
      </c>
      <c r="V73" s="1">
        <v>0</v>
      </c>
      <c r="W73" s="1">
        <v>0</v>
      </c>
      <c r="X73" s="1">
        <v>0</v>
      </c>
      <c r="Y73" s="1">
        <v>0</v>
      </c>
      <c r="Z73" s="1">
        <v>0</v>
      </c>
      <c r="AA73" s="1">
        <v>0</v>
      </c>
      <c r="AB73" s="1">
        <v>0</v>
      </c>
      <c r="AC73" s="1">
        <v>0</v>
      </c>
      <c r="AD73" s="1">
        <v>0</v>
      </c>
      <c r="AE73" s="1">
        <v>0</v>
      </c>
      <c r="AF73" s="1">
        <v>0</v>
      </c>
      <c r="AG73" s="1"/>
      <c r="AH73" s="1">
        <v>0</v>
      </c>
      <c r="AI73" s="1">
        <v>0</v>
      </c>
      <c r="AJ73" s="1">
        <v>0</v>
      </c>
      <c r="AK73" s="1">
        <v>0</v>
      </c>
      <c r="AL73" s="1">
        <v>0</v>
      </c>
      <c r="AM73" s="1">
        <v>0</v>
      </c>
      <c r="AN73" s="1">
        <v>0</v>
      </c>
      <c r="AO73" s="1">
        <v>0</v>
      </c>
      <c r="AP73" s="1"/>
      <c r="AQ73" s="1"/>
      <c r="AR73" s="1"/>
      <c r="AS73" s="1"/>
      <c r="AT73" s="1"/>
      <c r="AU73" s="1"/>
      <c r="AV73" s="1"/>
      <c r="AW73" s="1"/>
      <c r="AX73" s="1"/>
    </row>
    <row r="74" spans="1:50" ht="15" customHeight="1" x14ac:dyDescent="0.15">
      <c r="A74" s="6"/>
      <c r="B74" s="6" t="str">
        <f>E33&amp;".5"</f>
        <v>2.2.5</v>
      </c>
      <c r="E74" s="1" t="str">
        <f>B70&amp;".3"</f>
        <v>2.2.6.3</v>
      </c>
      <c r="F74" s="1" t="s">
        <v>1977</v>
      </c>
      <c r="G74" s="1" t="s">
        <v>1976</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15" customHeight="1" x14ac:dyDescent="0.15">
      <c r="A75" s="6"/>
      <c r="B75" s="6" t="str">
        <f>E33&amp;".5"</f>
        <v>2.2.5</v>
      </c>
      <c r="E75" s="1" t="str">
        <f>B70&amp;".4"</f>
        <v>2.2.6.4</v>
      </c>
      <c r="F75" s="1" t="s">
        <v>1978</v>
      </c>
      <c r="G75" s="1" t="s">
        <v>1692</v>
      </c>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15" customHeight="1" x14ac:dyDescent="0.15">
      <c r="A76" s="6"/>
      <c r="B76" s="6" t="str">
        <f>E33&amp;".7"</f>
        <v>2.2.7</v>
      </c>
      <c r="C76" t="s">
        <v>1972</v>
      </c>
      <c r="D76" t="s">
        <v>90</v>
      </c>
      <c r="E76" s="1" t="str">
        <f>B76</f>
        <v>2.2.7</v>
      </c>
      <c r="F76" s="1" t="s">
        <v>1288</v>
      </c>
      <c r="G76" s="1" t="s">
        <v>1692</v>
      </c>
      <c r="H76" s="1" t="s">
        <v>1692</v>
      </c>
      <c r="I76" s="1" t="s">
        <v>1692</v>
      </c>
      <c r="J76" s="1" t="s">
        <v>1692</v>
      </c>
      <c r="K76" s="1" t="s">
        <v>1692</v>
      </c>
      <c r="L76" s="1" t="s">
        <v>1692</v>
      </c>
      <c r="M76" s="1" t="s">
        <v>1692</v>
      </c>
      <c r="N76" s="1" t="s">
        <v>1692</v>
      </c>
      <c r="O76" s="1" t="s">
        <v>1692</v>
      </c>
      <c r="P76" s="1" t="s">
        <v>1692</v>
      </c>
      <c r="Q76" s="1" t="s">
        <v>1692</v>
      </c>
      <c r="R76" s="1" t="s">
        <v>1692</v>
      </c>
      <c r="S76" s="1" t="s">
        <v>1692</v>
      </c>
      <c r="T76" s="1" t="s">
        <v>1692</v>
      </c>
      <c r="U76" s="1" t="s">
        <v>1692</v>
      </c>
      <c r="V76" s="1" t="s">
        <v>1692</v>
      </c>
      <c r="W76" s="1" t="s">
        <v>1692</v>
      </c>
      <c r="X76" s="1" t="s">
        <v>1692</v>
      </c>
      <c r="Y76" s="1" t="s">
        <v>1692</v>
      </c>
      <c r="Z76" s="1" t="s">
        <v>1692</v>
      </c>
      <c r="AA76" s="1" t="s">
        <v>1692</v>
      </c>
      <c r="AB76" s="1" t="s">
        <v>1692</v>
      </c>
      <c r="AC76" s="1" t="s">
        <v>1692</v>
      </c>
      <c r="AD76" s="1" t="s">
        <v>1692</v>
      </c>
      <c r="AE76" s="1" t="s">
        <v>1692</v>
      </c>
      <c r="AF76" s="1" t="s">
        <v>1692</v>
      </c>
      <c r="AG76" s="1" t="s">
        <v>1692</v>
      </c>
      <c r="AH76" s="1" t="s">
        <v>1692</v>
      </c>
      <c r="AI76" s="1" t="s">
        <v>1692</v>
      </c>
      <c r="AJ76" s="1" t="s">
        <v>1692</v>
      </c>
      <c r="AK76" s="1" t="s">
        <v>1692</v>
      </c>
      <c r="AL76" s="1" t="s">
        <v>1692</v>
      </c>
      <c r="AM76" s="1" t="s">
        <v>1692</v>
      </c>
      <c r="AN76" s="1" t="s">
        <v>1692</v>
      </c>
      <c r="AO76" s="1" t="s">
        <v>1692</v>
      </c>
      <c r="AP76" s="1" t="s">
        <v>1692</v>
      </c>
      <c r="AQ76" s="1"/>
      <c r="AR76" s="1"/>
      <c r="AS76" s="1"/>
      <c r="AT76" s="1"/>
      <c r="AU76" s="1"/>
      <c r="AV76" s="1"/>
      <c r="AW76" s="1"/>
      <c r="AX76" s="1"/>
    </row>
    <row r="77" spans="1:50" ht="15" hidden="1" customHeight="1" x14ac:dyDescent="0.15">
      <c r="A77" s="6"/>
      <c r="B77" s="6" t="str">
        <f>E33&amp;".6"</f>
        <v>2.2.6</v>
      </c>
      <c r="E77" s="1"/>
      <c r="F77" s="1" t="s">
        <v>1973</v>
      </c>
      <c r="G77" s="1"/>
      <c r="H77" s="1">
        <f>H78*H79+H81</f>
        <v>0</v>
      </c>
      <c r="I77" s="1">
        <f>I78*I79+I80</f>
        <v>7385.327839999999</v>
      </c>
      <c r="J77" s="1">
        <f t="shared" ref="J77:AP77" si="13">J78*J79+J81</f>
        <v>0</v>
      </c>
      <c r="K77" s="1">
        <f t="shared" si="13"/>
        <v>0</v>
      </c>
      <c r="L77" s="1">
        <f t="shared" si="13"/>
        <v>0</v>
      </c>
      <c r="M77" s="1">
        <f t="shared" si="13"/>
        <v>1366.4515099999996</v>
      </c>
      <c r="N77" s="1">
        <f t="shared" si="13"/>
        <v>0</v>
      </c>
      <c r="O77" s="1">
        <f t="shared" si="13"/>
        <v>0</v>
      </c>
      <c r="P77" s="1">
        <f t="shared" si="13"/>
        <v>0</v>
      </c>
      <c r="Q77" s="1">
        <f t="shared" si="13"/>
        <v>0</v>
      </c>
      <c r="R77" s="1">
        <f t="shared" si="13"/>
        <v>0</v>
      </c>
      <c r="S77" s="1">
        <f t="shared" si="13"/>
        <v>0</v>
      </c>
      <c r="T77" s="1">
        <f t="shared" si="13"/>
        <v>0</v>
      </c>
      <c r="U77" s="1">
        <f t="shared" si="13"/>
        <v>0</v>
      </c>
      <c r="V77" s="1">
        <f t="shared" si="13"/>
        <v>0</v>
      </c>
      <c r="W77" s="1">
        <f t="shared" si="13"/>
        <v>0</v>
      </c>
      <c r="X77" s="1">
        <f t="shared" si="13"/>
        <v>0</v>
      </c>
      <c r="Y77" s="1">
        <f t="shared" si="13"/>
        <v>0</v>
      </c>
      <c r="Z77" s="1">
        <f t="shared" si="13"/>
        <v>0</v>
      </c>
      <c r="AA77" s="1">
        <f t="shared" si="13"/>
        <v>0</v>
      </c>
      <c r="AB77" s="1">
        <f t="shared" si="13"/>
        <v>0</v>
      </c>
      <c r="AC77" s="1">
        <f t="shared" si="13"/>
        <v>0</v>
      </c>
      <c r="AD77" s="1">
        <f t="shared" si="13"/>
        <v>0</v>
      </c>
      <c r="AE77" s="1">
        <f t="shared" si="13"/>
        <v>0</v>
      </c>
      <c r="AF77" s="1">
        <f t="shared" si="13"/>
        <v>0</v>
      </c>
      <c r="AG77" s="1">
        <f t="shared" si="13"/>
        <v>0</v>
      </c>
      <c r="AH77" s="1">
        <f t="shared" si="13"/>
        <v>0</v>
      </c>
      <c r="AI77" s="1">
        <f t="shared" si="13"/>
        <v>0</v>
      </c>
      <c r="AJ77" s="1">
        <f t="shared" si="13"/>
        <v>0</v>
      </c>
      <c r="AK77" s="1">
        <f t="shared" si="13"/>
        <v>0</v>
      </c>
      <c r="AL77" s="1">
        <f t="shared" si="13"/>
        <v>0</v>
      </c>
      <c r="AM77" s="1">
        <f t="shared" si="13"/>
        <v>0</v>
      </c>
      <c r="AN77" s="1">
        <f t="shared" si="13"/>
        <v>0</v>
      </c>
      <c r="AO77" s="1">
        <f t="shared" si="13"/>
        <v>0</v>
      </c>
      <c r="AP77" s="1">
        <f t="shared" si="13"/>
        <v>0</v>
      </c>
      <c r="AQ77" s="1"/>
      <c r="AR77" s="1"/>
      <c r="AS77" s="1"/>
      <c r="AT77" s="1"/>
      <c r="AU77" s="1"/>
      <c r="AV77" s="1"/>
      <c r="AW77" s="1"/>
      <c r="AX77" s="1"/>
    </row>
    <row r="78" spans="1:50" ht="15" customHeight="1" x14ac:dyDescent="0.15">
      <c r="A78" s="6"/>
      <c r="B78" s="6" t="str">
        <f>E33&amp;".6"</f>
        <v>2.2.6</v>
      </c>
      <c r="E78" s="1" t="str">
        <f>B76&amp;".1"</f>
        <v>2.2.7.1</v>
      </c>
      <c r="F78" s="1" t="s">
        <v>1974</v>
      </c>
      <c r="G78" s="1" t="s">
        <v>1289</v>
      </c>
      <c r="H78" s="1"/>
      <c r="I78" s="1">
        <v>12819.868</v>
      </c>
      <c r="J78" s="1">
        <v>0</v>
      </c>
      <c r="K78" s="1">
        <v>0</v>
      </c>
      <c r="L78" s="1">
        <v>0</v>
      </c>
      <c r="M78" s="1">
        <v>2371.9634884347502</v>
      </c>
      <c r="N78" s="1">
        <v>0</v>
      </c>
      <c r="O78" s="1">
        <v>0</v>
      </c>
      <c r="P78" s="1">
        <v>0</v>
      </c>
      <c r="Q78" s="1">
        <v>0</v>
      </c>
      <c r="R78" s="1">
        <v>0</v>
      </c>
      <c r="S78" s="1">
        <v>0</v>
      </c>
      <c r="T78" s="1">
        <v>0</v>
      </c>
      <c r="U78" s="1">
        <v>0</v>
      </c>
      <c r="V78" s="1">
        <v>0</v>
      </c>
      <c r="W78" s="1">
        <v>0</v>
      </c>
      <c r="X78" s="1">
        <v>0</v>
      </c>
      <c r="Y78" s="1">
        <v>0</v>
      </c>
      <c r="Z78" s="1">
        <v>0</v>
      </c>
      <c r="AA78" s="1">
        <v>0</v>
      </c>
      <c r="AB78" s="1">
        <v>0</v>
      </c>
      <c r="AC78" s="1">
        <v>0</v>
      </c>
      <c r="AD78" s="1">
        <v>0</v>
      </c>
      <c r="AE78" s="1">
        <v>0</v>
      </c>
      <c r="AF78" s="1">
        <v>0</v>
      </c>
      <c r="AG78" s="1"/>
      <c r="AH78" s="1">
        <v>0</v>
      </c>
      <c r="AI78" s="1">
        <v>0</v>
      </c>
      <c r="AJ78" s="1"/>
      <c r="AK78" s="1">
        <v>0</v>
      </c>
      <c r="AL78" s="1">
        <v>0</v>
      </c>
      <c r="AM78" s="1">
        <v>0</v>
      </c>
      <c r="AN78" s="1">
        <v>0</v>
      </c>
      <c r="AO78" s="1">
        <v>0</v>
      </c>
      <c r="AP78" s="1"/>
      <c r="AQ78" s="1"/>
      <c r="AR78" s="1"/>
      <c r="AS78" s="1"/>
      <c r="AT78" s="1"/>
      <c r="AU78" s="1"/>
      <c r="AV78" s="1"/>
      <c r="AW78" s="1"/>
      <c r="AX78" s="1"/>
    </row>
    <row r="79" spans="1:50" ht="15" customHeight="1" x14ac:dyDescent="0.15">
      <c r="A79" s="6"/>
      <c r="B79" s="6" t="str">
        <f>E33&amp;".6"</f>
        <v>2.2.6</v>
      </c>
      <c r="E79" s="1" t="str">
        <f>B76&amp;".2"</f>
        <v>2.2.7.2</v>
      </c>
      <c r="F79" s="1" t="s">
        <v>1975</v>
      </c>
      <c r="G79" s="1" t="s">
        <v>1976</v>
      </c>
      <c r="H79" s="1"/>
      <c r="I79" s="1">
        <v>0.57608454626833905</v>
      </c>
      <c r="J79" s="1">
        <v>0</v>
      </c>
      <c r="K79" s="1">
        <v>0</v>
      </c>
      <c r="L79" s="1">
        <v>0</v>
      </c>
      <c r="M79" s="1">
        <v>0.57608454626833905</v>
      </c>
      <c r="N79" s="1">
        <v>0</v>
      </c>
      <c r="O79" s="1">
        <v>0</v>
      </c>
      <c r="P79" s="1">
        <v>0</v>
      </c>
      <c r="Q79" s="1">
        <v>0</v>
      </c>
      <c r="R79" s="1">
        <v>0</v>
      </c>
      <c r="S79" s="1">
        <v>0</v>
      </c>
      <c r="T79" s="1">
        <v>0</v>
      </c>
      <c r="U79" s="1">
        <v>0</v>
      </c>
      <c r="V79" s="1">
        <v>0</v>
      </c>
      <c r="W79" s="1">
        <v>0</v>
      </c>
      <c r="X79" s="1">
        <v>0</v>
      </c>
      <c r="Y79" s="1">
        <v>0</v>
      </c>
      <c r="Z79" s="1">
        <v>0</v>
      </c>
      <c r="AA79" s="1">
        <v>0</v>
      </c>
      <c r="AB79" s="1">
        <v>0</v>
      </c>
      <c r="AC79" s="1">
        <v>0</v>
      </c>
      <c r="AD79" s="1">
        <v>0</v>
      </c>
      <c r="AE79" s="1">
        <v>0</v>
      </c>
      <c r="AF79" s="1">
        <v>0</v>
      </c>
      <c r="AG79" s="1"/>
      <c r="AH79" s="1">
        <v>0</v>
      </c>
      <c r="AI79" s="1">
        <v>0</v>
      </c>
      <c r="AJ79" s="1"/>
      <c r="AK79" s="1">
        <v>0</v>
      </c>
      <c r="AL79" s="1">
        <v>0</v>
      </c>
      <c r="AM79" s="1">
        <v>0</v>
      </c>
      <c r="AN79" s="1">
        <v>0</v>
      </c>
      <c r="AO79" s="1">
        <v>0</v>
      </c>
      <c r="AP79" s="1"/>
      <c r="AQ79" s="1"/>
      <c r="AR79" s="1"/>
      <c r="AS79" s="1"/>
      <c r="AT79" s="1"/>
      <c r="AU79" s="1"/>
      <c r="AV79" s="1"/>
      <c r="AW79" s="1"/>
      <c r="AX79" s="1"/>
    </row>
    <row r="80" spans="1:50" ht="15" customHeight="1" x14ac:dyDescent="0.15">
      <c r="A80" s="6"/>
      <c r="B80" s="6" t="str">
        <f>E33&amp;".6"</f>
        <v>2.2.6</v>
      </c>
      <c r="E80" s="1" t="str">
        <f>B76&amp;".3"</f>
        <v>2.2.7.3</v>
      </c>
      <c r="F80" s="1" t="s">
        <v>1977</v>
      </c>
      <c r="G80" s="1" t="s">
        <v>1976</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15" customHeight="1" x14ac:dyDescent="0.15">
      <c r="A81" s="6"/>
      <c r="B81" s="6" t="str">
        <f>E33&amp;".6"</f>
        <v>2.2.6</v>
      </c>
      <c r="E81" s="1" t="str">
        <f>B76&amp;".4"</f>
        <v>2.2.7.4</v>
      </c>
      <c r="F81" s="1" t="s">
        <v>1978</v>
      </c>
      <c r="G81" s="1" t="s">
        <v>1692</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15" customHeight="1" x14ac:dyDescent="0.15">
      <c r="A82" s="6"/>
      <c r="E82" s="1"/>
      <c r="F82" s="1" t="s">
        <v>1984</v>
      </c>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t="str">
        <f t="shared" ref="AQ82:AQ112" si="14">IF((LEN(E82)-LEN(SUBSTITUTE(E82,".","")))/LEN(".")=1,"p","")</f>
        <v/>
      </c>
      <c r="AR82" s="1"/>
      <c r="AS82" s="1"/>
      <c r="AT82" s="1"/>
      <c r="AU82" s="1"/>
      <c r="AV82" s="1"/>
      <c r="AW82" s="1"/>
      <c r="AX82" s="1"/>
    </row>
    <row r="83" spans="1:50" ht="15" hidden="1" customHeight="1" x14ac:dyDescent="0.15">
      <c r="A83" s="6" t="s">
        <v>1985</v>
      </c>
      <c r="E83" s="1" t="str">
        <f>FHD_NUM_P_5</f>
        <v/>
      </c>
      <c r="F83" s="1" t="str">
        <f>FHD_P_5</f>
        <v/>
      </c>
      <c r="G83" s="1" t="s">
        <v>1976</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t="str">
        <f t="shared" si="14"/>
        <v/>
      </c>
      <c r="AR83" s="1"/>
      <c r="AS83" s="1"/>
      <c r="AT83" s="1"/>
      <c r="AU83" s="1"/>
      <c r="AV83" s="1"/>
      <c r="AW83" s="1"/>
      <c r="AX83" s="1"/>
    </row>
    <row r="84" spans="1:50" ht="15" hidden="1" customHeight="1" x14ac:dyDescent="0.15">
      <c r="A84" s="6"/>
      <c r="E84" s="1" t="str">
        <f>FHD_NUM_P_6</f>
        <v/>
      </c>
      <c r="F84" s="1" t="str">
        <f>FHD_P_6</f>
        <v/>
      </c>
      <c r="G84" s="1" t="s">
        <v>1976</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t="str">
        <f t="shared" si="14"/>
        <v/>
      </c>
      <c r="AR84" s="1"/>
      <c r="AS84" s="1"/>
      <c r="AT84" s="1"/>
      <c r="AU84" s="1"/>
      <c r="AV84" s="1"/>
      <c r="AW84" s="1"/>
      <c r="AX84" s="1"/>
    </row>
    <row r="85" spans="1:50" ht="15" hidden="1" customHeight="1" x14ac:dyDescent="0.15">
      <c r="A85" s="6"/>
      <c r="E85" s="1" t="str">
        <f>FHD_NUM_P_7</f>
        <v/>
      </c>
      <c r="F85" s="1" t="str">
        <f>FHD_P_7</f>
        <v/>
      </c>
      <c r="G85" s="1" t="s">
        <v>1976</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t="str">
        <f t="shared" si="14"/>
        <v/>
      </c>
      <c r="AR85" s="1"/>
      <c r="AS85" s="1"/>
      <c r="AT85" s="1"/>
      <c r="AU85" s="1"/>
      <c r="AV85" s="1"/>
      <c r="AW85" s="1"/>
      <c r="AX85" s="1"/>
    </row>
    <row r="86" spans="1:50" ht="35.25" customHeight="1" x14ac:dyDescent="0.15">
      <c r="E86" s="1" t="str">
        <f>FHD_NUM_P_8</f>
        <v>2.3</v>
      </c>
      <c r="F86" s="1" t="str">
        <f>FHD_P_8</f>
        <v>Расходы на приобретаемую электрическую энергию (мощность), используемую в технологическом процессе</v>
      </c>
      <c r="G86" s="1" t="s">
        <v>1976</v>
      </c>
      <c r="H86" s="1"/>
      <c r="I86" s="1">
        <v>862304.63075999997</v>
      </c>
      <c r="J86" s="1">
        <f>J87*J88</f>
        <v>141816.10119950568</v>
      </c>
      <c r="K86" s="1">
        <v>59131.120690000003</v>
      </c>
      <c r="L86" s="1">
        <v>26.307680000000001</v>
      </c>
      <c r="M86" s="1">
        <v>14797.118560000001</v>
      </c>
      <c r="N86" s="1">
        <v>729.30286000000001</v>
      </c>
      <c r="O86" s="1">
        <v>769.87953000000005</v>
      </c>
      <c r="P86" s="1">
        <v>1099.9927399999999</v>
      </c>
      <c r="Q86" s="1">
        <v>177.30163999999999</v>
      </c>
      <c r="R86" s="1">
        <v>4.6824599999999998</v>
      </c>
      <c r="S86" s="1">
        <v>290.81727999999998</v>
      </c>
      <c r="T86" s="1">
        <v>0</v>
      </c>
      <c r="U86" s="1">
        <v>1455.49011</v>
      </c>
      <c r="V86" s="1">
        <v>0</v>
      </c>
      <c r="W86" s="1">
        <v>0</v>
      </c>
      <c r="X86" s="1">
        <v>0</v>
      </c>
      <c r="Y86" s="1">
        <v>0</v>
      </c>
      <c r="Z86" s="1">
        <v>0</v>
      </c>
      <c r="AA86" s="1">
        <v>0</v>
      </c>
      <c r="AB86" s="1">
        <v>0</v>
      </c>
      <c r="AC86" s="1">
        <v>0</v>
      </c>
      <c r="AD86" s="1">
        <v>0</v>
      </c>
      <c r="AE86" s="1">
        <v>0</v>
      </c>
      <c r="AF86" s="1">
        <v>0</v>
      </c>
      <c r="AG86" s="1">
        <v>0</v>
      </c>
      <c r="AH86" s="1">
        <v>0</v>
      </c>
      <c r="AI86" s="1">
        <v>733.60636999999997</v>
      </c>
      <c r="AJ86" s="1">
        <f>AJ87*AJ88</f>
        <v>12959.410630000304</v>
      </c>
      <c r="AK86" s="1">
        <v>6529.4567175900002</v>
      </c>
      <c r="AL86" s="1">
        <v>0</v>
      </c>
      <c r="AM86" s="1">
        <v>0</v>
      </c>
      <c r="AN86" s="1">
        <v>0</v>
      </c>
      <c r="AO86" s="1">
        <v>0</v>
      </c>
      <c r="AP86" s="1"/>
      <c r="AQ86" s="1" t="str">
        <f t="shared" si="14"/>
        <v>p</v>
      </c>
      <c r="AR86" s="1"/>
      <c r="AS86" s="1"/>
      <c r="AT86" s="1"/>
      <c r="AU86" s="1"/>
      <c r="AV86" s="1"/>
      <c r="AW86" s="1"/>
      <c r="AX86" s="1"/>
    </row>
    <row r="87" spans="1:50" ht="15" customHeight="1" x14ac:dyDescent="0.15">
      <c r="E87" s="1" t="str">
        <f>FHD_NUM_P_9</f>
        <v>2.3.1</v>
      </c>
      <c r="F87" s="1" t="str">
        <f>FHD_P_9</f>
        <v>Средневзвешенная стоимость 1 кВт.ч (с учетом мощности)</v>
      </c>
      <c r="G87" s="1" t="s">
        <v>1876</v>
      </c>
      <c r="H87" s="1"/>
      <c r="I87" s="1">
        <v>6.0601315957075803</v>
      </c>
      <c r="J87" s="1">
        <v>5.4401509289999996</v>
      </c>
      <c r="K87" s="1">
        <v>5.8827412407961397</v>
      </c>
      <c r="L87" s="1">
        <v>6.5939305301645303</v>
      </c>
      <c r="M87" s="1">
        <v>5.6038357540285304</v>
      </c>
      <c r="N87" s="1">
        <v>5.6781310210159797</v>
      </c>
      <c r="O87" s="1">
        <v>5.6180312786735396</v>
      </c>
      <c r="P87" s="1">
        <v>4.7950285627710798</v>
      </c>
      <c r="Q87" s="1">
        <v>6.5275223123732298</v>
      </c>
      <c r="R87" s="1">
        <v>7.1809906352764497</v>
      </c>
      <c r="S87" s="1">
        <v>6.6055854141586696</v>
      </c>
      <c r="T87" s="1">
        <v>0</v>
      </c>
      <c r="U87" s="1">
        <v>5.11300264174682</v>
      </c>
      <c r="V87" s="1">
        <v>0</v>
      </c>
      <c r="W87" s="1">
        <v>0</v>
      </c>
      <c r="X87" s="1">
        <v>0</v>
      </c>
      <c r="Y87" s="1">
        <v>0</v>
      </c>
      <c r="Z87" s="1">
        <v>0</v>
      </c>
      <c r="AA87" s="1">
        <v>0</v>
      </c>
      <c r="AB87" s="1">
        <v>0</v>
      </c>
      <c r="AC87" s="1">
        <v>0</v>
      </c>
      <c r="AD87" s="1">
        <v>0</v>
      </c>
      <c r="AE87" s="1">
        <v>0</v>
      </c>
      <c r="AF87" s="1">
        <v>0</v>
      </c>
      <c r="AG87" s="1">
        <v>0</v>
      </c>
      <c r="AH87" s="1">
        <v>0</v>
      </c>
      <c r="AI87" s="1">
        <v>6.4576712700942496</v>
      </c>
      <c r="AJ87" s="1">
        <v>5.4401509294025701</v>
      </c>
      <c r="AK87" s="1">
        <v>5.7831624561000003</v>
      </c>
      <c r="AL87" s="1">
        <v>0</v>
      </c>
      <c r="AM87" s="1">
        <v>0</v>
      </c>
      <c r="AN87" s="1">
        <v>0</v>
      </c>
      <c r="AO87" s="1">
        <v>0</v>
      </c>
      <c r="AP87" s="1"/>
      <c r="AQ87" s="1" t="str">
        <f t="shared" si="14"/>
        <v/>
      </c>
      <c r="AR87" s="1"/>
      <c r="AS87" s="1"/>
      <c r="AT87" s="1"/>
      <c r="AU87" s="1"/>
      <c r="AV87" s="1"/>
      <c r="AW87" s="1"/>
      <c r="AX87" s="1"/>
    </row>
    <row r="88" spans="1:50" ht="15" customHeight="1" x14ac:dyDescent="0.15">
      <c r="E88" s="1" t="str">
        <f>FHD_NUM_P_10</f>
        <v>2.3.2</v>
      </c>
      <c r="F88" s="1" t="str">
        <f>FHD_P_10</f>
        <v>Объём приобретения электрической энергии</v>
      </c>
      <c r="G88" s="1" t="s">
        <v>1986</v>
      </c>
      <c r="H88" s="1"/>
      <c r="I88" s="1">
        <v>142291.403601</v>
      </c>
      <c r="J88" s="1">
        <v>26068.413</v>
      </c>
      <c r="K88" s="1">
        <v>10051.627</v>
      </c>
      <c r="L88" s="1">
        <v>3.99</v>
      </c>
      <c r="M88" s="1">
        <v>2640.53</v>
      </c>
      <c r="N88" s="1">
        <v>128.44</v>
      </c>
      <c r="O88" s="1">
        <v>137.04</v>
      </c>
      <c r="P88" s="1">
        <v>229.4</v>
      </c>
      <c r="Q88" s="1">
        <v>27.16</v>
      </c>
      <c r="R88" s="1">
        <v>0.65</v>
      </c>
      <c r="S88" s="1">
        <v>44.03</v>
      </c>
      <c r="T88" s="1">
        <v>0</v>
      </c>
      <c r="U88" s="1">
        <v>284.66000000000003</v>
      </c>
      <c r="V88" s="1">
        <v>0</v>
      </c>
      <c r="W88" s="1">
        <v>0</v>
      </c>
      <c r="X88" s="1">
        <v>0</v>
      </c>
      <c r="Y88" s="1">
        <v>0</v>
      </c>
      <c r="Z88" s="1">
        <v>0</v>
      </c>
      <c r="AA88" s="1">
        <v>0</v>
      </c>
      <c r="AB88" s="1">
        <v>0</v>
      </c>
      <c r="AC88" s="1">
        <v>0</v>
      </c>
      <c r="AD88" s="1">
        <v>0</v>
      </c>
      <c r="AE88" s="1">
        <v>0</v>
      </c>
      <c r="AF88" s="1">
        <v>0</v>
      </c>
      <c r="AG88" s="1">
        <v>0</v>
      </c>
      <c r="AH88" s="1">
        <v>0</v>
      </c>
      <c r="AI88" s="1">
        <v>113.6</v>
      </c>
      <c r="AJ88" s="1">
        <v>2382.1785090479998</v>
      </c>
      <c r="AK88" s="1">
        <v>1129.0460482824999</v>
      </c>
      <c r="AL88" s="1">
        <v>0</v>
      </c>
      <c r="AM88" s="1">
        <v>0</v>
      </c>
      <c r="AN88" s="1">
        <v>0</v>
      </c>
      <c r="AO88" s="1">
        <v>0</v>
      </c>
      <c r="AP88" s="1"/>
      <c r="AQ88" s="1" t="str">
        <f t="shared" si="14"/>
        <v/>
      </c>
      <c r="AR88" s="1"/>
      <c r="AS88" s="1"/>
      <c r="AT88" s="1"/>
      <c r="AU88" s="1"/>
      <c r="AV88" s="1"/>
      <c r="AW88" s="1"/>
      <c r="AX88" s="1"/>
    </row>
    <row r="89" spans="1:50" ht="30" customHeight="1" x14ac:dyDescent="0.15">
      <c r="A89" t="s">
        <v>1987</v>
      </c>
      <c r="E89" s="1" t="str">
        <f>FHD_NUM_P_11</f>
        <v>2.4</v>
      </c>
      <c r="F89" s="1" t="str">
        <f>FHD_P_11</f>
        <v>Расходы на приобретение холодной воды, используемой в технологическом процессе</v>
      </c>
      <c r="G89" s="1" t="s">
        <v>1976</v>
      </c>
      <c r="H89" s="1"/>
      <c r="I89" s="1">
        <v>145778.931717798</v>
      </c>
      <c r="J89" s="1">
        <v>16904.425859999999</v>
      </c>
      <c r="K89" s="1">
        <v>17339.81565</v>
      </c>
      <c r="L89" s="1">
        <v>46.990099999999998</v>
      </c>
      <c r="M89" s="1">
        <v>8539.9315900000001</v>
      </c>
      <c r="N89" s="1">
        <v>1131.4282700000001</v>
      </c>
      <c r="O89" s="1">
        <v>3314.9094700000001</v>
      </c>
      <c r="P89" s="1">
        <v>1393.6773599999999</v>
      </c>
      <c r="Q89" s="1">
        <v>433.37670000000003</v>
      </c>
      <c r="R89" s="1">
        <v>4.8741199999999996</v>
      </c>
      <c r="S89" s="1">
        <v>191.61508000000001</v>
      </c>
      <c r="T89" s="1">
        <v>728.59888999999998</v>
      </c>
      <c r="U89" s="1">
        <v>28.508500000000002</v>
      </c>
      <c r="V89" s="1">
        <v>0</v>
      </c>
      <c r="W89" s="1">
        <v>0</v>
      </c>
      <c r="X89" s="1">
        <v>0</v>
      </c>
      <c r="Y89" s="1">
        <v>0</v>
      </c>
      <c r="Z89" s="1">
        <v>0</v>
      </c>
      <c r="AA89" s="1">
        <v>0</v>
      </c>
      <c r="AB89" s="1">
        <v>0</v>
      </c>
      <c r="AC89" s="1">
        <v>0</v>
      </c>
      <c r="AD89" s="1">
        <v>0</v>
      </c>
      <c r="AE89" s="1">
        <v>0</v>
      </c>
      <c r="AF89" s="1">
        <v>0</v>
      </c>
      <c r="AG89" s="1">
        <v>0</v>
      </c>
      <c r="AH89" s="1">
        <v>0</v>
      </c>
      <c r="AI89" s="1">
        <v>760.93465000000003</v>
      </c>
      <c r="AJ89" s="1">
        <v>10075.11162</v>
      </c>
      <c r="AK89" s="1">
        <v>10154.45192078</v>
      </c>
      <c r="AL89" s="1">
        <v>0</v>
      </c>
      <c r="AM89" s="1">
        <v>0</v>
      </c>
      <c r="AN89" s="1">
        <v>0</v>
      </c>
      <c r="AO89" s="1">
        <v>0</v>
      </c>
      <c r="AP89" s="1"/>
      <c r="AQ89" s="1" t="str">
        <f t="shared" si="14"/>
        <v>p</v>
      </c>
      <c r="AR89" s="1"/>
      <c r="AS89" s="1"/>
      <c r="AT89" s="1"/>
      <c r="AU89" s="1"/>
      <c r="AV89" s="1"/>
      <c r="AW89" s="1"/>
      <c r="AX89" s="1"/>
    </row>
    <row r="90" spans="1:50" ht="33" customHeight="1" x14ac:dyDescent="0.15">
      <c r="A90" t="s">
        <v>1988</v>
      </c>
      <c r="E90" s="1" t="str">
        <f>FHD_NUM_P_12</f>
        <v>2.5</v>
      </c>
      <c r="F90" s="1" t="str">
        <f>FHD_P_12</f>
        <v>Расходы на химические реагенты, используемые в технологическом процессе</v>
      </c>
      <c r="G90" s="1" t="s">
        <v>1976</v>
      </c>
      <c r="H90" s="1"/>
      <c r="I90" s="1">
        <v>10964.959940000001</v>
      </c>
      <c r="J90" s="1">
        <v>1152.05306</v>
      </c>
      <c r="K90" s="1">
        <v>524.01871000000006</v>
      </c>
      <c r="L90" s="1">
        <v>0</v>
      </c>
      <c r="M90" s="1">
        <v>28.891030000000001</v>
      </c>
      <c r="N90" s="1">
        <v>7.3011299999999997</v>
      </c>
      <c r="O90" s="1">
        <v>62.5535</v>
      </c>
      <c r="P90" s="1">
        <v>6.2473599999999996</v>
      </c>
      <c r="Q90" s="1">
        <v>0</v>
      </c>
      <c r="R90" s="1">
        <v>0</v>
      </c>
      <c r="S90" s="1">
        <v>0</v>
      </c>
      <c r="T90" s="1">
        <v>0</v>
      </c>
      <c r="U90" s="1">
        <v>80.901840000000007</v>
      </c>
      <c r="V90" s="1">
        <v>0</v>
      </c>
      <c r="W90" s="1">
        <v>0</v>
      </c>
      <c r="X90" s="1">
        <v>0</v>
      </c>
      <c r="Y90" s="1">
        <v>0</v>
      </c>
      <c r="Z90" s="1">
        <v>0</v>
      </c>
      <c r="AA90" s="1">
        <v>0</v>
      </c>
      <c r="AB90" s="1">
        <v>0</v>
      </c>
      <c r="AC90" s="1">
        <v>0</v>
      </c>
      <c r="AD90" s="1">
        <v>0</v>
      </c>
      <c r="AE90" s="1">
        <v>0</v>
      </c>
      <c r="AF90" s="1">
        <v>0</v>
      </c>
      <c r="AG90" s="1">
        <v>0</v>
      </c>
      <c r="AH90" s="1">
        <v>0</v>
      </c>
      <c r="AI90" s="1">
        <v>0</v>
      </c>
      <c r="AJ90" s="1">
        <v>175.91088999999999</v>
      </c>
      <c r="AK90" s="1">
        <v>141.20932540000001</v>
      </c>
      <c r="AL90" s="1">
        <v>0</v>
      </c>
      <c r="AM90" s="1">
        <v>0</v>
      </c>
      <c r="AN90" s="1">
        <v>0</v>
      </c>
      <c r="AO90" s="1">
        <v>0</v>
      </c>
      <c r="AP90" s="1"/>
      <c r="AQ90" s="1" t="str">
        <f t="shared" si="14"/>
        <v>p</v>
      </c>
      <c r="AR90" s="1"/>
      <c r="AS90" s="1"/>
      <c r="AT90" s="1"/>
      <c r="AU90" s="1"/>
      <c r="AV90" s="1"/>
      <c r="AW90" s="1"/>
      <c r="AX90" s="1"/>
    </row>
    <row r="91" spans="1:50" ht="31.5" customHeight="1" x14ac:dyDescent="0.15">
      <c r="E91" s="1" t="str">
        <f>FHD_NUM_P_13</f>
        <v>2.6</v>
      </c>
      <c r="F91" s="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91" s="1" t="s">
        <v>1976</v>
      </c>
      <c r="H91" s="1"/>
      <c r="I91" s="1">
        <v>2813851.03</v>
      </c>
      <c r="J91" s="1">
        <v>233322.06</v>
      </c>
      <c r="K91" s="1">
        <v>192945.37</v>
      </c>
      <c r="L91" s="1">
        <v>35.74</v>
      </c>
      <c r="M91" s="1">
        <v>17792.73</v>
      </c>
      <c r="N91" s="1">
        <v>858.6</v>
      </c>
      <c r="O91" s="1">
        <v>2542.8200000000002</v>
      </c>
      <c r="P91" s="1">
        <v>2417.1</v>
      </c>
      <c r="Q91" s="1">
        <v>442.89</v>
      </c>
      <c r="R91" s="1">
        <v>9.61</v>
      </c>
      <c r="S91" s="1">
        <v>256.35000000000002</v>
      </c>
      <c r="T91" s="1">
        <v>178.69</v>
      </c>
      <c r="U91" s="1">
        <v>2848.73</v>
      </c>
      <c r="V91" s="1">
        <v>2.93</v>
      </c>
      <c r="W91" s="1">
        <v>396.09</v>
      </c>
      <c r="X91" s="1">
        <v>7.76</v>
      </c>
      <c r="Y91" s="1">
        <v>1.86</v>
      </c>
      <c r="Z91" s="1">
        <v>2.1800000000000002</v>
      </c>
      <c r="AA91" s="1">
        <v>1.8</v>
      </c>
      <c r="AB91" s="1">
        <v>1.78</v>
      </c>
      <c r="AC91" s="1">
        <v>1.82</v>
      </c>
      <c r="AD91" s="1">
        <v>10.49</v>
      </c>
      <c r="AE91" s="1">
        <v>2.37</v>
      </c>
      <c r="AF91" s="1">
        <v>2.48</v>
      </c>
      <c r="AG91" s="1">
        <v>8.3000000000000007</v>
      </c>
      <c r="AH91" s="1">
        <v>0</v>
      </c>
      <c r="AI91" s="1">
        <v>1520.6</v>
      </c>
      <c r="AJ91" s="1">
        <v>12245.84</v>
      </c>
      <c r="AK91" s="1">
        <v>6838.59</v>
      </c>
      <c r="AL91" s="1">
        <v>0</v>
      </c>
      <c r="AM91" s="1">
        <v>6.65</v>
      </c>
      <c r="AN91" s="1">
        <v>0</v>
      </c>
      <c r="AO91" s="1">
        <v>0</v>
      </c>
      <c r="AP91" s="1"/>
      <c r="AQ91" s="1" t="str">
        <f t="shared" si="14"/>
        <v>p</v>
      </c>
      <c r="AR91" s="1"/>
      <c r="AS91" s="1"/>
      <c r="AT91" s="1"/>
      <c r="AU91" s="1"/>
      <c r="AV91" s="1"/>
      <c r="AW91" s="1"/>
      <c r="AX91" s="1"/>
    </row>
    <row r="92" spans="1:50" ht="39" customHeight="1" x14ac:dyDescent="0.15">
      <c r="E92" s="1" t="str">
        <f>FHD_NUM_P_14</f>
        <v>2.6.1</v>
      </c>
      <c r="F92" s="1" t="str">
        <f>FHD_P_14</f>
        <v>Расходы на оплату труда основного производственного персонала</v>
      </c>
      <c r="G92" s="1" t="s">
        <v>1976</v>
      </c>
      <c r="H92" s="1"/>
      <c r="I92" s="1">
        <v>2148729.61</v>
      </c>
      <c r="J92" s="1">
        <v>178768.86</v>
      </c>
      <c r="K92" s="1">
        <v>147570.22</v>
      </c>
      <c r="L92" s="1">
        <v>27.41</v>
      </c>
      <c r="M92" s="1">
        <v>13558.65</v>
      </c>
      <c r="N92" s="1">
        <v>655.38</v>
      </c>
      <c r="O92" s="1">
        <v>1946.53</v>
      </c>
      <c r="P92" s="1">
        <v>1838.75</v>
      </c>
      <c r="Q92" s="1">
        <v>335.02</v>
      </c>
      <c r="R92" s="1">
        <v>7.19</v>
      </c>
      <c r="S92" s="1">
        <v>196.55</v>
      </c>
      <c r="T92" s="1">
        <v>136.88999999999999</v>
      </c>
      <c r="U92" s="1">
        <v>2169.13</v>
      </c>
      <c r="V92" s="1">
        <v>2.25</v>
      </c>
      <c r="W92" s="1">
        <v>304.17</v>
      </c>
      <c r="X92" s="1">
        <v>5.96</v>
      </c>
      <c r="Y92" s="1">
        <v>1.43</v>
      </c>
      <c r="Z92" s="1">
        <v>1.67</v>
      </c>
      <c r="AA92" s="1">
        <v>1.39</v>
      </c>
      <c r="AB92" s="1">
        <v>1.36</v>
      </c>
      <c r="AC92" s="1">
        <v>1.4</v>
      </c>
      <c r="AD92" s="1">
        <v>8.0399999999999991</v>
      </c>
      <c r="AE92" s="1">
        <v>1.82</v>
      </c>
      <c r="AF92" s="1">
        <v>1.9</v>
      </c>
      <c r="AG92" s="1">
        <v>6.37</v>
      </c>
      <c r="AH92" s="1">
        <v>0</v>
      </c>
      <c r="AI92" s="1">
        <v>1157.71</v>
      </c>
      <c r="AJ92" s="1">
        <v>9365.43</v>
      </c>
      <c r="AK92" s="1">
        <v>5244.82</v>
      </c>
      <c r="AL92" s="1">
        <v>0</v>
      </c>
      <c r="AM92" s="1">
        <v>5.1100000000000003</v>
      </c>
      <c r="AN92" s="1">
        <v>0</v>
      </c>
      <c r="AO92" s="1">
        <v>0</v>
      </c>
      <c r="AP92" s="1"/>
      <c r="AQ92" s="1" t="str">
        <f t="shared" si="14"/>
        <v/>
      </c>
      <c r="AR92" s="1"/>
      <c r="AS92" s="1"/>
      <c r="AT92" s="1"/>
      <c r="AU92" s="1"/>
      <c r="AV92" s="1"/>
      <c r="AW92" s="1"/>
      <c r="AX92" s="1"/>
    </row>
    <row r="93" spans="1:50" ht="28.5" customHeight="1" x14ac:dyDescent="0.15">
      <c r="E93" s="1" t="str">
        <f>FHD_NUM_P_15</f>
        <v>2.6.2</v>
      </c>
      <c r="F93" s="1" t="str">
        <f>FHD_P_15</f>
        <v>Страховые взносы на обязательное социальное страхование, выплачиваемые из фонда оплаты труда основного производственного персонала</v>
      </c>
      <c r="G93" s="1" t="s">
        <v>1976</v>
      </c>
      <c r="H93" s="1"/>
      <c r="I93" s="1">
        <v>665121.42000000004</v>
      </c>
      <c r="J93" s="1">
        <v>54553.2</v>
      </c>
      <c r="K93" s="1">
        <v>45375.14</v>
      </c>
      <c r="L93" s="1">
        <v>8.33</v>
      </c>
      <c r="M93" s="1">
        <v>4234.08</v>
      </c>
      <c r="N93" s="1">
        <v>203.22</v>
      </c>
      <c r="O93" s="1">
        <v>596.29999999999995</v>
      </c>
      <c r="P93" s="1">
        <v>578.35</v>
      </c>
      <c r="Q93" s="1">
        <v>107.87</v>
      </c>
      <c r="R93" s="1">
        <v>2.42</v>
      </c>
      <c r="S93" s="1">
        <v>59.8</v>
      </c>
      <c r="T93" s="1">
        <v>41.79</v>
      </c>
      <c r="U93" s="1">
        <v>679.61</v>
      </c>
      <c r="V93" s="1">
        <v>0.68</v>
      </c>
      <c r="W93" s="1">
        <v>91.91</v>
      </c>
      <c r="X93" s="1">
        <v>1.8</v>
      </c>
      <c r="Y93" s="1">
        <v>0.43</v>
      </c>
      <c r="Z93" s="1">
        <v>0.5</v>
      </c>
      <c r="AA93" s="1">
        <v>0.42</v>
      </c>
      <c r="AB93" s="1">
        <v>0.41</v>
      </c>
      <c r="AC93" s="1">
        <v>0.42</v>
      </c>
      <c r="AD93" s="1">
        <v>2.4500000000000002</v>
      </c>
      <c r="AE93" s="1">
        <v>0.56000000000000005</v>
      </c>
      <c r="AF93" s="1">
        <v>0.57999999999999996</v>
      </c>
      <c r="AG93" s="1">
        <v>1.92</v>
      </c>
      <c r="AH93" s="1">
        <v>0</v>
      </c>
      <c r="AI93" s="1">
        <v>362.89</v>
      </c>
      <c r="AJ93" s="1">
        <v>2880.41</v>
      </c>
      <c r="AK93" s="1">
        <v>1593.77</v>
      </c>
      <c r="AL93" s="1">
        <v>0</v>
      </c>
      <c r="AM93" s="1">
        <v>1.54</v>
      </c>
      <c r="AN93" s="1">
        <v>0</v>
      </c>
      <c r="AO93" s="1">
        <v>0</v>
      </c>
      <c r="AP93" s="1"/>
      <c r="AQ93" s="1" t="str">
        <f t="shared" si="14"/>
        <v/>
      </c>
      <c r="AR93" s="1"/>
      <c r="AS93" s="1"/>
      <c r="AT93" s="1"/>
      <c r="AU93" s="1"/>
      <c r="AV93" s="1"/>
      <c r="AW93" s="1"/>
      <c r="AX93" s="1"/>
    </row>
    <row r="94" spans="1:50" ht="38.25" customHeight="1" x14ac:dyDescent="0.15">
      <c r="E94" s="1" t="str">
        <f>FHD_NUM_P_16</f>
        <v>2.7</v>
      </c>
      <c r="F94" s="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94" s="1" t="s">
        <v>1976</v>
      </c>
      <c r="H94" s="1"/>
      <c r="I94" s="1">
        <v>1197332.42</v>
      </c>
      <c r="J94" s="1">
        <v>94527.34</v>
      </c>
      <c r="K94" s="1">
        <v>77516.479999999996</v>
      </c>
      <c r="L94" s="1">
        <v>12.63</v>
      </c>
      <c r="M94" s="1">
        <v>5538.97</v>
      </c>
      <c r="N94" s="1">
        <v>267.29000000000002</v>
      </c>
      <c r="O94" s="1">
        <v>782.55</v>
      </c>
      <c r="P94" s="1">
        <v>720.2</v>
      </c>
      <c r="Q94" s="1">
        <v>136.30000000000001</v>
      </c>
      <c r="R94" s="1">
        <v>2.96</v>
      </c>
      <c r="S94" s="1">
        <v>90.61</v>
      </c>
      <c r="T94" s="1">
        <v>63.16</v>
      </c>
      <c r="U94" s="1">
        <v>848.81</v>
      </c>
      <c r="V94" s="1">
        <v>0</v>
      </c>
      <c r="W94" s="1">
        <v>0</v>
      </c>
      <c r="X94" s="1">
        <v>0</v>
      </c>
      <c r="Y94" s="1">
        <v>0</v>
      </c>
      <c r="Z94" s="1">
        <v>0</v>
      </c>
      <c r="AA94" s="1">
        <v>0</v>
      </c>
      <c r="AB94" s="1">
        <v>0</v>
      </c>
      <c r="AC94" s="1">
        <v>0</v>
      </c>
      <c r="AD94" s="1">
        <v>0</v>
      </c>
      <c r="AE94" s="1">
        <v>0</v>
      </c>
      <c r="AF94" s="1">
        <v>0</v>
      </c>
      <c r="AG94" s="1">
        <v>0</v>
      </c>
      <c r="AH94" s="1">
        <v>0</v>
      </c>
      <c r="AI94" s="1">
        <v>697.74</v>
      </c>
      <c r="AJ94" s="1">
        <v>4961.24</v>
      </c>
      <c r="AK94" s="1">
        <v>2747.43</v>
      </c>
      <c r="AL94" s="1">
        <v>0</v>
      </c>
      <c r="AM94" s="1">
        <v>0</v>
      </c>
      <c r="AN94" s="1">
        <v>0</v>
      </c>
      <c r="AO94" s="1">
        <v>0</v>
      </c>
      <c r="AP94" s="1"/>
      <c r="AQ94" s="1" t="str">
        <f t="shared" si="14"/>
        <v>p</v>
      </c>
      <c r="AR94" s="1"/>
      <c r="AS94" s="1"/>
      <c r="AT94" s="1"/>
      <c r="AU94" s="1"/>
      <c r="AV94" s="1"/>
      <c r="AW94" s="1"/>
      <c r="AX94" s="1"/>
    </row>
    <row r="95" spans="1:50" ht="23.25" customHeight="1" x14ac:dyDescent="0.15">
      <c r="E95" s="1" t="str">
        <f>FHD_NUM_P_17</f>
        <v>2.7.1</v>
      </c>
      <c r="F95" s="1" t="str">
        <f>FHD_P_17</f>
        <v>Расходы на оплату труда административно-управленческого персонала</v>
      </c>
      <c r="G95" s="1" t="s">
        <v>1976</v>
      </c>
      <c r="H95" s="1"/>
      <c r="I95" s="1">
        <v>914314.08</v>
      </c>
      <c r="J95" s="1">
        <v>72425.83</v>
      </c>
      <c r="K95" s="1">
        <v>59286.86</v>
      </c>
      <c r="L95" s="1">
        <v>9.69</v>
      </c>
      <c r="M95" s="1">
        <v>4220.88</v>
      </c>
      <c r="N95" s="1">
        <v>204.02</v>
      </c>
      <c r="O95" s="1">
        <v>599.04</v>
      </c>
      <c r="P95" s="1">
        <v>547.88</v>
      </c>
      <c r="Q95" s="1">
        <v>103.1</v>
      </c>
      <c r="R95" s="1">
        <v>2.21</v>
      </c>
      <c r="S95" s="1">
        <v>69.47</v>
      </c>
      <c r="T95" s="1">
        <v>48.39</v>
      </c>
      <c r="U95" s="1">
        <v>646.32000000000005</v>
      </c>
      <c r="V95" s="1">
        <v>0</v>
      </c>
      <c r="W95" s="1">
        <v>0</v>
      </c>
      <c r="X95" s="1">
        <v>0</v>
      </c>
      <c r="Y95" s="1">
        <v>0</v>
      </c>
      <c r="Z95" s="1">
        <v>0</v>
      </c>
      <c r="AA95" s="1">
        <v>0</v>
      </c>
      <c r="AB95" s="1">
        <v>0</v>
      </c>
      <c r="AC95" s="1">
        <v>0</v>
      </c>
      <c r="AD95" s="1">
        <v>0</v>
      </c>
      <c r="AE95" s="1">
        <v>0</v>
      </c>
      <c r="AF95" s="1">
        <v>0</v>
      </c>
      <c r="AG95" s="1">
        <v>0</v>
      </c>
      <c r="AH95" s="1">
        <v>0</v>
      </c>
      <c r="AI95" s="1">
        <v>531.23</v>
      </c>
      <c r="AJ95" s="1">
        <v>3794.28</v>
      </c>
      <c r="AK95" s="1">
        <v>2107.13</v>
      </c>
      <c r="AL95" s="1">
        <v>0</v>
      </c>
      <c r="AM95" s="1">
        <v>0</v>
      </c>
      <c r="AN95" s="1">
        <v>0</v>
      </c>
      <c r="AO95" s="1">
        <v>0</v>
      </c>
      <c r="AP95" s="1"/>
      <c r="AQ95" s="1" t="str">
        <f t="shared" si="14"/>
        <v/>
      </c>
      <c r="AR95" s="1"/>
      <c r="AS95" s="1"/>
      <c r="AT95" s="1"/>
      <c r="AU95" s="1"/>
      <c r="AV95" s="1"/>
      <c r="AW95" s="1"/>
      <c r="AX95" s="1"/>
    </row>
    <row r="96" spans="1:50" ht="33" customHeight="1" x14ac:dyDescent="0.15">
      <c r="E96" s="1" t="str">
        <f>FHD_NUM_P_18</f>
        <v>2.7.2</v>
      </c>
      <c r="F96" s="1" t="str">
        <f>FHD_P_18</f>
        <v>Страховые взносы на обязательное социальное страхование, выплачиваемые из фонда оплаты труда административно-управленческого персонала</v>
      </c>
      <c r="G96" s="1" t="s">
        <v>1976</v>
      </c>
      <c r="H96" s="1"/>
      <c r="I96" s="1">
        <v>283018.34000000003</v>
      </c>
      <c r="J96" s="1">
        <v>22101.51</v>
      </c>
      <c r="K96" s="1">
        <v>18229.62</v>
      </c>
      <c r="L96" s="1">
        <v>2.94</v>
      </c>
      <c r="M96" s="1">
        <v>1318.09</v>
      </c>
      <c r="N96" s="1">
        <v>63.26</v>
      </c>
      <c r="O96" s="1">
        <v>183.51</v>
      </c>
      <c r="P96" s="1">
        <v>172.33</v>
      </c>
      <c r="Q96" s="1">
        <v>33.200000000000003</v>
      </c>
      <c r="R96" s="1">
        <v>0.75</v>
      </c>
      <c r="S96" s="1">
        <v>21.14</v>
      </c>
      <c r="T96" s="1">
        <v>14.77</v>
      </c>
      <c r="U96" s="1">
        <v>202.5</v>
      </c>
      <c r="V96" s="1">
        <v>0</v>
      </c>
      <c r="W96" s="1">
        <v>0</v>
      </c>
      <c r="X96" s="1">
        <v>0</v>
      </c>
      <c r="Y96" s="1">
        <v>0</v>
      </c>
      <c r="Z96" s="1">
        <v>0</v>
      </c>
      <c r="AA96" s="1">
        <v>0</v>
      </c>
      <c r="AB96" s="1">
        <v>0</v>
      </c>
      <c r="AC96" s="1">
        <v>0</v>
      </c>
      <c r="AD96" s="1">
        <v>0</v>
      </c>
      <c r="AE96" s="1">
        <v>0</v>
      </c>
      <c r="AF96" s="1">
        <v>0</v>
      </c>
      <c r="AG96" s="1">
        <v>0</v>
      </c>
      <c r="AH96" s="1">
        <v>0</v>
      </c>
      <c r="AI96" s="1">
        <v>166.52</v>
      </c>
      <c r="AJ96" s="1">
        <v>1166.96</v>
      </c>
      <c r="AK96" s="1">
        <v>640.29999999999995</v>
      </c>
      <c r="AL96" s="1">
        <v>0</v>
      </c>
      <c r="AM96" s="1">
        <v>0</v>
      </c>
      <c r="AN96" s="1">
        <v>0</v>
      </c>
      <c r="AO96" s="1">
        <v>0</v>
      </c>
      <c r="AP96" s="1"/>
      <c r="AQ96" s="1" t="str">
        <f t="shared" si="14"/>
        <v/>
      </c>
      <c r="AR96" s="1"/>
      <c r="AS96" s="1"/>
      <c r="AT96" s="1"/>
      <c r="AU96" s="1"/>
      <c r="AV96" s="1"/>
      <c r="AW96" s="1"/>
      <c r="AX96" s="1"/>
    </row>
    <row r="97" spans="1:50" ht="23.25" customHeight="1" x14ac:dyDescent="0.15">
      <c r="E97" s="1" t="str">
        <f>FHD_NUM_P_19</f>
        <v>2.8</v>
      </c>
      <c r="F97" s="1" t="str">
        <f>FHD_P_19</f>
        <v>Расходы на амортизацию основных средств и нематериальных активов</v>
      </c>
      <c r="G97" s="1" t="s">
        <v>1976</v>
      </c>
      <c r="H97" s="1"/>
      <c r="I97" s="1">
        <v>285056.29271151999</v>
      </c>
      <c r="J97" s="1">
        <v>5764.0023413259996</v>
      </c>
      <c r="K97" s="1">
        <v>15507.272426516</v>
      </c>
      <c r="L97" s="1">
        <v>7.3670799999999996</v>
      </c>
      <c r="M97" s="1">
        <v>3606.48605</v>
      </c>
      <c r="N97" s="1">
        <v>16.929970000000001</v>
      </c>
      <c r="O97" s="1">
        <v>295.58425999999997</v>
      </c>
      <c r="P97" s="1">
        <v>60.21</v>
      </c>
      <c r="Q97" s="1">
        <v>7.0885999999999996</v>
      </c>
      <c r="R97" s="1">
        <v>6.4100000000000004E-2</v>
      </c>
      <c r="S97" s="1">
        <v>13.39082</v>
      </c>
      <c r="T97" s="1">
        <v>28.05405</v>
      </c>
      <c r="U97" s="1">
        <v>1106.7013300000001</v>
      </c>
      <c r="V97" s="1">
        <v>0</v>
      </c>
      <c r="W97" s="1">
        <v>0</v>
      </c>
      <c r="X97" s="1">
        <v>0</v>
      </c>
      <c r="Y97" s="1">
        <v>0</v>
      </c>
      <c r="Z97" s="1">
        <v>0</v>
      </c>
      <c r="AA97" s="1">
        <v>0</v>
      </c>
      <c r="AB97" s="1">
        <v>0</v>
      </c>
      <c r="AC97" s="1">
        <v>0</v>
      </c>
      <c r="AD97" s="1">
        <v>0</v>
      </c>
      <c r="AE97" s="1">
        <v>0</v>
      </c>
      <c r="AF97" s="1">
        <v>0</v>
      </c>
      <c r="AG97" s="1">
        <v>0</v>
      </c>
      <c r="AH97" s="1">
        <v>0</v>
      </c>
      <c r="AI97" s="1">
        <v>73.504279999999994</v>
      </c>
      <c r="AJ97" s="1">
        <v>344.58226999999999</v>
      </c>
      <c r="AK97" s="1">
        <v>1840.2599584</v>
      </c>
      <c r="AL97" s="1">
        <v>0</v>
      </c>
      <c r="AM97" s="1">
        <v>0</v>
      </c>
      <c r="AN97" s="1">
        <v>0</v>
      </c>
      <c r="AO97" s="1">
        <v>0</v>
      </c>
      <c r="AP97" s="1"/>
      <c r="AQ97" s="1" t="str">
        <f t="shared" si="14"/>
        <v>p</v>
      </c>
      <c r="AR97" s="1"/>
      <c r="AS97" s="1"/>
      <c r="AT97" s="1"/>
      <c r="AU97" s="1"/>
      <c r="AV97" s="1"/>
      <c r="AW97" s="1"/>
      <c r="AX97" s="1"/>
    </row>
    <row r="98" spans="1:50" ht="15" customHeight="1" x14ac:dyDescent="0.15">
      <c r="E98" s="1" t="str">
        <f>FHD_NUM_P_20</f>
        <v>2.8.1</v>
      </c>
      <c r="F98" s="1" t="str">
        <f>FHD_P_20</f>
        <v>Расходы на амортизацию основных средств</v>
      </c>
      <c r="G98" s="1" t="s">
        <v>1976</v>
      </c>
      <c r="H98" s="1"/>
      <c r="I98" s="1">
        <v>285056.29271151999</v>
      </c>
      <c r="J98" s="1">
        <v>5764</v>
      </c>
      <c r="K98" s="1">
        <v>15507.272426516</v>
      </c>
      <c r="L98" s="1">
        <v>7.3670799999999996</v>
      </c>
      <c r="M98" s="1">
        <v>3606.48605</v>
      </c>
      <c r="N98" s="1">
        <v>16.929970000000001</v>
      </c>
      <c r="O98" s="1">
        <v>295.58425999999997</v>
      </c>
      <c r="P98" s="1">
        <v>60.21</v>
      </c>
      <c r="Q98" s="1">
        <v>7.0885999999999996</v>
      </c>
      <c r="R98" s="1">
        <v>6.4100000000000004E-2</v>
      </c>
      <c r="S98" s="1">
        <v>13.39082</v>
      </c>
      <c r="T98" s="1">
        <v>28.05405</v>
      </c>
      <c r="U98" s="1">
        <v>1106.7013300000001</v>
      </c>
      <c r="V98" s="1">
        <v>0</v>
      </c>
      <c r="W98" s="1">
        <v>0</v>
      </c>
      <c r="X98" s="1">
        <v>0</v>
      </c>
      <c r="Y98" s="1">
        <v>0</v>
      </c>
      <c r="Z98" s="1">
        <v>0</v>
      </c>
      <c r="AA98" s="1">
        <v>0</v>
      </c>
      <c r="AB98" s="1">
        <v>0</v>
      </c>
      <c r="AC98" s="1">
        <v>0</v>
      </c>
      <c r="AD98" s="1">
        <v>0</v>
      </c>
      <c r="AE98" s="1">
        <v>0</v>
      </c>
      <c r="AF98" s="1">
        <v>0</v>
      </c>
      <c r="AG98" s="1">
        <v>0</v>
      </c>
      <c r="AH98" s="1">
        <v>0</v>
      </c>
      <c r="AI98" s="1">
        <v>73.504279999999994</v>
      </c>
      <c r="AJ98" s="1">
        <v>344.58226999999999</v>
      </c>
      <c r="AK98" s="1">
        <v>1840.2599584</v>
      </c>
      <c r="AL98" s="1">
        <v>0</v>
      </c>
      <c r="AM98" s="1">
        <v>0</v>
      </c>
      <c r="AN98" s="1">
        <v>0</v>
      </c>
      <c r="AO98" s="1">
        <v>0</v>
      </c>
      <c r="AP98" s="1"/>
      <c r="AQ98" s="1" t="str">
        <f t="shared" si="14"/>
        <v/>
      </c>
      <c r="AR98" s="1"/>
      <c r="AS98" s="1"/>
      <c r="AT98" s="1"/>
      <c r="AU98" s="1"/>
      <c r="AV98" s="1"/>
      <c r="AW98" s="1"/>
      <c r="AX98" s="1"/>
    </row>
    <row r="99" spans="1:50" ht="15" customHeight="1" x14ac:dyDescent="0.15">
      <c r="E99" s="1" t="str">
        <f>FHD_NUM_P_21</f>
        <v>2.8.2</v>
      </c>
      <c r="F99" s="1" t="str">
        <f>FHD_P_21</f>
        <v>Расходы на амортизацию нематериальных активов</v>
      </c>
      <c r="G99" s="1" t="s">
        <v>1976</v>
      </c>
      <c r="H99" s="1"/>
      <c r="I99" s="1">
        <v>0</v>
      </c>
      <c r="J99" s="1">
        <v>0</v>
      </c>
      <c r="K99" s="1">
        <v>0</v>
      </c>
      <c r="L99" s="1">
        <v>0</v>
      </c>
      <c r="M99" s="1">
        <v>0</v>
      </c>
      <c r="N99" s="1">
        <v>0</v>
      </c>
      <c r="O99" s="1">
        <v>0</v>
      </c>
      <c r="P99" s="1">
        <v>0</v>
      </c>
      <c r="Q99" s="1">
        <v>0</v>
      </c>
      <c r="R99" s="1">
        <v>0</v>
      </c>
      <c r="S99" s="1">
        <v>0</v>
      </c>
      <c r="T99" s="1">
        <v>0</v>
      </c>
      <c r="U99" s="1">
        <v>0</v>
      </c>
      <c r="V99" s="1">
        <v>0</v>
      </c>
      <c r="W99" s="1">
        <v>0</v>
      </c>
      <c r="X99" s="1">
        <v>0</v>
      </c>
      <c r="Y99" s="1">
        <v>0</v>
      </c>
      <c r="Z99" s="1">
        <v>0</v>
      </c>
      <c r="AA99" s="1">
        <v>0</v>
      </c>
      <c r="AB99" s="1">
        <v>0</v>
      </c>
      <c r="AC99" s="1">
        <v>0</v>
      </c>
      <c r="AD99" s="1">
        <v>0</v>
      </c>
      <c r="AE99" s="1">
        <v>0</v>
      </c>
      <c r="AF99" s="1">
        <v>0</v>
      </c>
      <c r="AG99" s="1">
        <v>0</v>
      </c>
      <c r="AH99" s="1">
        <v>0</v>
      </c>
      <c r="AI99" s="1">
        <v>0</v>
      </c>
      <c r="AJ99" s="1">
        <v>0</v>
      </c>
      <c r="AK99" s="1">
        <v>0</v>
      </c>
      <c r="AL99" s="1">
        <v>0</v>
      </c>
      <c r="AM99" s="1">
        <v>0</v>
      </c>
      <c r="AN99" s="1">
        <v>0</v>
      </c>
      <c r="AO99" s="1">
        <v>0</v>
      </c>
      <c r="AP99" s="1"/>
      <c r="AQ99" s="1" t="str">
        <f t="shared" si="14"/>
        <v/>
      </c>
      <c r="AR99" s="1"/>
      <c r="AS99" s="1"/>
      <c r="AT99" s="1"/>
      <c r="AU99" s="1"/>
      <c r="AV99" s="1"/>
      <c r="AW99" s="1"/>
      <c r="AX99" s="1"/>
    </row>
    <row r="100" spans="1:50" ht="31.5" customHeight="1" x14ac:dyDescent="0.15">
      <c r="E100" s="1" t="str">
        <f>FHD_NUM_P_22</f>
        <v>2.9</v>
      </c>
      <c r="F100" s="1" t="str">
        <f>FHD_P_22</f>
        <v>Расходы на аренду имущества, используемого для осуществления регулируемого вида деятельности</v>
      </c>
      <c r="G100" s="1" t="s">
        <v>1976</v>
      </c>
      <c r="H100" s="1"/>
      <c r="I100" s="1">
        <v>24913.005840000002</v>
      </c>
      <c r="J100" s="1">
        <v>4572.09094</v>
      </c>
      <c r="K100" s="1">
        <v>9295.7170399999995</v>
      </c>
      <c r="L100" s="1">
        <v>0.11582000000000001</v>
      </c>
      <c r="M100" s="1">
        <v>13.8362</v>
      </c>
      <c r="N100" s="1">
        <v>2.7787099999999998</v>
      </c>
      <c r="O100" s="1">
        <v>2.3818700000000002</v>
      </c>
      <c r="P100" s="1">
        <v>0</v>
      </c>
      <c r="Q100" s="1">
        <v>8.1869800000000001</v>
      </c>
      <c r="R100" s="1">
        <v>1.3950000000000001E-2</v>
      </c>
      <c r="S100" s="1">
        <v>3.8033399999999999</v>
      </c>
      <c r="T100" s="1">
        <v>0.23485</v>
      </c>
      <c r="U100" s="1">
        <v>1.09996</v>
      </c>
      <c r="V100" s="1">
        <v>0</v>
      </c>
      <c r="W100" s="1">
        <v>0</v>
      </c>
      <c r="X100" s="1">
        <v>0</v>
      </c>
      <c r="Y100" s="1">
        <v>0</v>
      </c>
      <c r="Z100" s="1">
        <v>0</v>
      </c>
      <c r="AA100" s="1">
        <v>0</v>
      </c>
      <c r="AB100" s="1">
        <v>0</v>
      </c>
      <c r="AC100" s="1">
        <v>0</v>
      </c>
      <c r="AD100" s="1">
        <v>0</v>
      </c>
      <c r="AE100" s="1">
        <v>0</v>
      </c>
      <c r="AF100" s="1">
        <v>0</v>
      </c>
      <c r="AG100" s="1">
        <v>0</v>
      </c>
      <c r="AH100" s="1">
        <v>0</v>
      </c>
      <c r="AI100" s="1">
        <v>0.9526</v>
      </c>
      <c r="AJ100" s="1">
        <v>522.11266999999998</v>
      </c>
      <c r="AK100" s="1">
        <v>1763.9201436999999</v>
      </c>
      <c r="AL100" s="1">
        <v>0</v>
      </c>
      <c r="AM100" s="1">
        <v>0</v>
      </c>
      <c r="AN100" s="1">
        <v>0</v>
      </c>
      <c r="AO100" s="1">
        <v>0</v>
      </c>
      <c r="AP100" s="1"/>
      <c r="AQ100" s="1" t="str">
        <f t="shared" si="14"/>
        <v>p</v>
      </c>
      <c r="AR100" s="1"/>
      <c r="AS100" s="1"/>
      <c r="AT100" s="1"/>
      <c r="AU100" s="1"/>
      <c r="AV100" s="1"/>
      <c r="AW100" s="1"/>
      <c r="AX100" s="1"/>
    </row>
    <row r="101" spans="1:50" ht="15" customHeight="1" x14ac:dyDescent="0.15">
      <c r="E101" s="1" t="str">
        <f>FHD_NUM_P_23</f>
        <v>2.10</v>
      </c>
      <c r="F101" s="1" t="str">
        <f>FHD_P_23</f>
        <v>Общепроизводственные расходы, в том числе:</v>
      </c>
      <c r="G101" s="1" t="s">
        <v>1976</v>
      </c>
      <c r="H101" s="1"/>
      <c r="I101" s="1">
        <v>278422.27914</v>
      </c>
      <c r="J101" s="1">
        <v>21215.163860000001</v>
      </c>
      <c r="K101" s="1">
        <v>23165.12155</v>
      </c>
      <c r="L101" s="1">
        <v>3.8067000000000002</v>
      </c>
      <c r="M101" s="1">
        <v>1850.84476</v>
      </c>
      <c r="N101" s="1">
        <v>59.030169999999998</v>
      </c>
      <c r="O101" s="1">
        <v>230.32011</v>
      </c>
      <c r="P101" s="1">
        <v>327.71237000000002</v>
      </c>
      <c r="Q101" s="1">
        <v>31.633649999999999</v>
      </c>
      <c r="R101" s="1">
        <v>0.94382999999999995</v>
      </c>
      <c r="S101" s="1">
        <v>29.896350000000002</v>
      </c>
      <c r="T101" s="1">
        <v>54.625959999999999</v>
      </c>
      <c r="U101" s="1">
        <v>386.59575999999998</v>
      </c>
      <c r="V101" s="1">
        <v>0.20533999999999999</v>
      </c>
      <c r="W101" s="1">
        <v>0</v>
      </c>
      <c r="X101" s="1">
        <v>0</v>
      </c>
      <c r="Y101" s="1">
        <v>0</v>
      </c>
      <c r="Z101" s="1">
        <v>0</v>
      </c>
      <c r="AA101" s="1">
        <v>2.828E-2</v>
      </c>
      <c r="AB101" s="1">
        <v>0.12281</v>
      </c>
      <c r="AC101" s="1">
        <v>6.0979999999999999E-2</v>
      </c>
      <c r="AD101" s="1">
        <v>0.31551000000000001</v>
      </c>
      <c r="AE101" s="1">
        <v>0.44096000000000002</v>
      </c>
      <c r="AF101" s="1">
        <v>0</v>
      </c>
      <c r="AG101" s="1">
        <v>0.1</v>
      </c>
      <c r="AH101" s="1">
        <v>0</v>
      </c>
      <c r="AI101" s="1">
        <v>144.82881</v>
      </c>
      <c r="AJ101" s="1">
        <v>1827.1712299999999</v>
      </c>
      <c r="AK101" s="1">
        <v>3451.2352931999999</v>
      </c>
      <c r="AL101" s="1">
        <v>0</v>
      </c>
      <c r="AM101" s="1">
        <v>0</v>
      </c>
      <c r="AN101" s="1">
        <v>0</v>
      </c>
      <c r="AO101" s="1">
        <v>0</v>
      </c>
      <c r="AP101" s="1"/>
      <c r="AQ101" s="1" t="str">
        <f t="shared" si="14"/>
        <v>p</v>
      </c>
      <c r="AR101" s="1"/>
      <c r="AS101" s="1"/>
      <c r="AT101" s="1"/>
      <c r="AU101" s="1"/>
      <c r="AV101" s="1"/>
      <c r="AW101" s="1"/>
      <c r="AX101" s="1"/>
    </row>
    <row r="102" spans="1:50" ht="15" customHeight="1" x14ac:dyDescent="0.15">
      <c r="E102" s="1" t="str">
        <f>FHD_NUM_P_24</f>
        <v>2.10.1</v>
      </c>
      <c r="F102" s="1" t="str">
        <f>FHD_P_24</f>
        <v>Расходы на текущий ремонт</v>
      </c>
      <c r="G102" s="1" t="s">
        <v>1976</v>
      </c>
      <c r="H102" s="1"/>
      <c r="I102" s="1">
        <v>1708.8453500000001</v>
      </c>
      <c r="J102" s="1">
        <v>86</v>
      </c>
      <c r="K102" s="1">
        <v>68.601320000000001</v>
      </c>
      <c r="L102" s="1">
        <v>0</v>
      </c>
      <c r="M102" s="1">
        <v>0</v>
      </c>
      <c r="N102" s="1">
        <v>0</v>
      </c>
      <c r="O102" s="1">
        <v>0</v>
      </c>
      <c r="P102" s="1">
        <v>0.36987999999999999</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c r="AK102" s="1">
        <v>0</v>
      </c>
      <c r="AL102" s="1">
        <v>0</v>
      </c>
      <c r="AM102" s="1">
        <v>0</v>
      </c>
      <c r="AN102" s="1">
        <v>0</v>
      </c>
      <c r="AO102" s="1">
        <v>0</v>
      </c>
      <c r="AP102" s="1"/>
      <c r="AQ102" s="1" t="str">
        <f t="shared" si="14"/>
        <v/>
      </c>
      <c r="AR102" s="1"/>
      <c r="AS102" s="1"/>
      <c r="AT102" s="1"/>
      <c r="AU102" s="1"/>
      <c r="AV102" s="1"/>
      <c r="AW102" s="1"/>
      <c r="AX102" s="1"/>
    </row>
    <row r="103" spans="1:50" ht="15" customHeight="1" x14ac:dyDescent="0.15">
      <c r="E103" s="1" t="str">
        <f>FHD_NUM_P_25</f>
        <v>2.10.2</v>
      </c>
      <c r="F103" s="1" t="str">
        <f>FHD_P_25</f>
        <v>Расходы на капитальный ремонт</v>
      </c>
      <c r="G103" s="1" t="s">
        <v>1976</v>
      </c>
      <c r="H103" s="1"/>
      <c r="I103" s="1">
        <v>0</v>
      </c>
      <c r="J103" s="1">
        <v>0</v>
      </c>
      <c r="K103" s="1">
        <v>0</v>
      </c>
      <c r="L103" s="1">
        <v>0</v>
      </c>
      <c r="M103" s="1">
        <v>0</v>
      </c>
      <c r="N103" s="1">
        <v>0</v>
      </c>
      <c r="O103" s="1">
        <v>0</v>
      </c>
      <c r="P103" s="1">
        <v>0</v>
      </c>
      <c r="Q103" s="1">
        <v>0</v>
      </c>
      <c r="R103" s="1">
        <v>0</v>
      </c>
      <c r="S103" s="1">
        <v>0</v>
      </c>
      <c r="T103" s="1">
        <v>0</v>
      </c>
      <c r="U103" s="1">
        <v>0</v>
      </c>
      <c r="V103" s="1">
        <v>0</v>
      </c>
      <c r="W103" s="1">
        <v>0</v>
      </c>
      <c r="X103" s="1">
        <v>0</v>
      </c>
      <c r="Y103" s="1">
        <v>0</v>
      </c>
      <c r="Z103" s="1">
        <v>0</v>
      </c>
      <c r="AA103" s="1">
        <v>0</v>
      </c>
      <c r="AB103" s="1">
        <v>0</v>
      </c>
      <c r="AC103" s="1">
        <v>0</v>
      </c>
      <c r="AD103" s="1">
        <v>0</v>
      </c>
      <c r="AE103" s="1">
        <v>0</v>
      </c>
      <c r="AF103" s="1">
        <v>0</v>
      </c>
      <c r="AG103" s="1">
        <v>0</v>
      </c>
      <c r="AH103" s="1">
        <v>0</v>
      </c>
      <c r="AI103" s="1">
        <v>0</v>
      </c>
      <c r="AJ103" s="1">
        <v>0</v>
      </c>
      <c r="AK103" s="1">
        <v>0</v>
      </c>
      <c r="AL103" s="1">
        <v>0</v>
      </c>
      <c r="AM103" s="1">
        <v>0</v>
      </c>
      <c r="AN103" s="1">
        <v>0</v>
      </c>
      <c r="AO103" s="1">
        <v>0</v>
      </c>
      <c r="AP103" s="1"/>
      <c r="AQ103" s="1" t="str">
        <f t="shared" si="14"/>
        <v/>
      </c>
      <c r="AR103" s="1"/>
      <c r="AS103" s="1"/>
      <c r="AT103" s="1"/>
      <c r="AU103" s="1"/>
      <c r="AV103" s="1"/>
      <c r="AW103" s="1"/>
      <c r="AX103" s="1"/>
    </row>
    <row r="104" spans="1:50" ht="15" customHeight="1" x14ac:dyDescent="0.15">
      <c r="E104" s="1" t="str">
        <f>FHD_NUM_P_26</f>
        <v>2.11</v>
      </c>
      <c r="F104" s="1" t="str">
        <f>FHD_P_26</f>
        <v>Общехозяйственные расходы, в том числе:</v>
      </c>
      <c r="G104" s="1" t="s">
        <v>1976</v>
      </c>
      <c r="H104" s="1"/>
      <c r="I104" s="1">
        <v>126329.21208584</v>
      </c>
      <c r="J104" s="1">
        <v>10738.593357977001</v>
      </c>
      <c r="K104" s="1">
        <v>17504.009647816001</v>
      </c>
      <c r="L104" s="1">
        <v>2.2749999999999999E-2</v>
      </c>
      <c r="M104" s="1">
        <v>21.326029999999999</v>
      </c>
      <c r="N104" s="1">
        <v>0.17591000000000001</v>
      </c>
      <c r="O104" s="1">
        <v>0</v>
      </c>
      <c r="P104" s="1">
        <v>0</v>
      </c>
      <c r="Q104" s="1">
        <v>0</v>
      </c>
      <c r="R104" s="1">
        <v>0</v>
      </c>
      <c r="S104" s="1">
        <v>8.3899999999999999E-3</v>
      </c>
      <c r="T104" s="1">
        <v>3.2939999999999997E-2</v>
      </c>
      <c r="U104" s="1">
        <v>0</v>
      </c>
      <c r="V104" s="1">
        <v>0</v>
      </c>
      <c r="W104" s="1">
        <v>0</v>
      </c>
      <c r="X104" s="1">
        <v>0</v>
      </c>
      <c r="Y104" s="1">
        <v>0</v>
      </c>
      <c r="Z104" s="1">
        <v>0</v>
      </c>
      <c r="AA104" s="1">
        <v>0</v>
      </c>
      <c r="AB104" s="1">
        <v>0</v>
      </c>
      <c r="AC104" s="1">
        <v>0</v>
      </c>
      <c r="AD104" s="1">
        <v>0</v>
      </c>
      <c r="AE104" s="1">
        <v>0</v>
      </c>
      <c r="AF104" s="1">
        <v>0</v>
      </c>
      <c r="AG104" s="1">
        <v>0</v>
      </c>
      <c r="AH104" s="1">
        <v>0</v>
      </c>
      <c r="AI104" s="1">
        <v>0.15204999999999999</v>
      </c>
      <c r="AJ104" s="1">
        <v>306.81943999999999</v>
      </c>
      <c r="AK104" s="1">
        <v>41.049386050000003</v>
      </c>
      <c r="AL104" s="1">
        <v>0</v>
      </c>
      <c r="AM104" s="1">
        <v>0</v>
      </c>
      <c r="AN104" s="1">
        <v>0</v>
      </c>
      <c r="AO104" s="1">
        <v>0</v>
      </c>
      <c r="AP104" s="1"/>
      <c r="AQ104" s="1" t="str">
        <f t="shared" si="14"/>
        <v>p</v>
      </c>
      <c r="AR104" s="1"/>
      <c r="AS104" s="1"/>
      <c r="AT104" s="1"/>
      <c r="AU104" s="1"/>
      <c r="AV104" s="1"/>
      <c r="AW104" s="1"/>
      <c r="AX104" s="1"/>
    </row>
    <row r="105" spans="1:50" ht="15" customHeight="1" x14ac:dyDescent="0.15">
      <c r="E105" s="1" t="str">
        <f>FHD_NUM_P_27</f>
        <v>2.11.1</v>
      </c>
      <c r="F105" s="1" t="str">
        <f>FHD_P_27</f>
        <v>Расходы на текущий ремонт</v>
      </c>
      <c r="G105" s="1" t="s">
        <v>1976</v>
      </c>
      <c r="H105" s="1"/>
      <c r="I105" s="1">
        <v>394.45954</v>
      </c>
      <c r="J105" s="1">
        <v>0</v>
      </c>
      <c r="K105" s="1">
        <v>0.95147000000000004</v>
      </c>
      <c r="L105" s="1">
        <v>0</v>
      </c>
      <c r="M105" s="1">
        <v>0</v>
      </c>
      <c r="N105" s="1">
        <v>0</v>
      </c>
      <c r="O105" s="1">
        <v>0</v>
      </c>
      <c r="P105" s="1">
        <v>0</v>
      </c>
      <c r="Q105" s="1">
        <v>0</v>
      </c>
      <c r="R105" s="1">
        <v>0</v>
      </c>
      <c r="S105" s="1">
        <v>0</v>
      </c>
      <c r="T105" s="1">
        <v>0</v>
      </c>
      <c r="U105" s="1">
        <v>0</v>
      </c>
      <c r="V105" s="1">
        <v>0</v>
      </c>
      <c r="W105" s="1">
        <v>0</v>
      </c>
      <c r="X105" s="1">
        <v>0</v>
      </c>
      <c r="Y105" s="1">
        <v>0</v>
      </c>
      <c r="Z105" s="1">
        <v>0</v>
      </c>
      <c r="AA105" s="1">
        <v>0</v>
      </c>
      <c r="AB105" s="1">
        <v>0</v>
      </c>
      <c r="AC105" s="1">
        <v>0</v>
      </c>
      <c r="AD105" s="1">
        <v>0</v>
      </c>
      <c r="AE105" s="1">
        <v>0</v>
      </c>
      <c r="AF105" s="1">
        <v>0</v>
      </c>
      <c r="AG105" s="1">
        <v>0</v>
      </c>
      <c r="AH105" s="1">
        <v>0</v>
      </c>
      <c r="AI105" s="1">
        <v>0</v>
      </c>
      <c r="AJ105" s="1">
        <v>0</v>
      </c>
      <c r="AK105" s="1">
        <v>0</v>
      </c>
      <c r="AL105" s="1">
        <v>0</v>
      </c>
      <c r="AM105" s="1">
        <v>0</v>
      </c>
      <c r="AN105" s="1">
        <v>0</v>
      </c>
      <c r="AO105" s="1">
        <v>0</v>
      </c>
      <c r="AP105" s="1"/>
      <c r="AQ105" s="1" t="str">
        <f t="shared" si="14"/>
        <v/>
      </c>
      <c r="AR105" s="1"/>
      <c r="AS105" s="1"/>
      <c r="AT105" s="1"/>
      <c r="AU105" s="1"/>
      <c r="AV105" s="1"/>
      <c r="AW105" s="1"/>
      <c r="AX105" s="1"/>
    </row>
    <row r="106" spans="1:50" ht="15" customHeight="1" x14ac:dyDescent="0.15">
      <c r="E106" s="1" t="str">
        <f>FHD_NUM_P_28</f>
        <v>2.11.2</v>
      </c>
      <c r="F106" s="1" t="str">
        <f>FHD_P_28</f>
        <v>Расходы на капитальный ремонт</v>
      </c>
      <c r="G106" s="1" t="s">
        <v>1976</v>
      </c>
      <c r="H106" s="1"/>
      <c r="I106" s="1">
        <v>2968.2236600000001</v>
      </c>
      <c r="J106" s="1">
        <v>0</v>
      </c>
      <c r="K106" s="1">
        <v>0</v>
      </c>
      <c r="L106" s="1">
        <v>0</v>
      </c>
      <c r="M106" s="1">
        <v>0</v>
      </c>
      <c r="N106" s="1">
        <v>0</v>
      </c>
      <c r="O106" s="1">
        <v>0</v>
      </c>
      <c r="P106" s="1">
        <v>0</v>
      </c>
      <c r="Q106" s="1">
        <v>0</v>
      </c>
      <c r="R106" s="1">
        <v>0</v>
      </c>
      <c r="S106" s="1">
        <v>0</v>
      </c>
      <c r="T106" s="1">
        <v>0</v>
      </c>
      <c r="U106" s="1">
        <v>0</v>
      </c>
      <c r="V106" s="1">
        <v>0</v>
      </c>
      <c r="W106" s="1">
        <v>0</v>
      </c>
      <c r="X106" s="1">
        <v>0</v>
      </c>
      <c r="Y106" s="1">
        <v>0</v>
      </c>
      <c r="Z106" s="1">
        <v>0</v>
      </c>
      <c r="AA106" s="1">
        <v>0</v>
      </c>
      <c r="AB106" s="1">
        <v>0</v>
      </c>
      <c r="AC106" s="1">
        <v>0</v>
      </c>
      <c r="AD106" s="1">
        <v>0</v>
      </c>
      <c r="AE106" s="1">
        <v>0</v>
      </c>
      <c r="AF106" s="1">
        <v>0</v>
      </c>
      <c r="AG106" s="1">
        <v>0</v>
      </c>
      <c r="AH106" s="1">
        <v>0</v>
      </c>
      <c r="AI106" s="1">
        <v>0</v>
      </c>
      <c r="AJ106" s="1">
        <v>0</v>
      </c>
      <c r="AK106" s="1">
        <v>0</v>
      </c>
      <c r="AL106" s="1">
        <v>0</v>
      </c>
      <c r="AM106" s="1">
        <v>0</v>
      </c>
      <c r="AN106" s="1">
        <v>0</v>
      </c>
      <c r="AO106" s="1">
        <v>0</v>
      </c>
      <c r="AP106" s="1"/>
      <c r="AQ106" s="1" t="str">
        <f t="shared" si="14"/>
        <v/>
      </c>
      <c r="AR106" s="1"/>
      <c r="AS106" s="1"/>
      <c r="AT106" s="1"/>
      <c r="AU106" s="1"/>
      <c r="AV106" s="1"/>
      <c r="AW106" s="1"/>
      <c r="AX106" s="1"/>
    </row>
    <row r="107" spans="1:50" ht="30" customHeight="1" x14ac:dyDescent="0.15">
      <c r="E107" s="1" t="str">
        <f>FHD_NUM_P_29</f>
        <v>2.12</v>
      </c>
      <c r="F107" s="1" t="str">
        <f>FHD_P_29</f>
        <v>Расходы на капитальный и текущий ремонт основных средств</v>
      </c>
      <c r="G107" s="1" t="s">
        <v>1976</v>
      </c>
      <c r="H107" s="1"/>
      <c r="I107" s="1">
        <v>565339.61572999996</v>
      </c>
      <c r="J107" s="1">
        <v>44441.781479999998</v>
      </c>
      <c r="K107" s="1">
        <v>68215.651549999995</v>
      </c>
      <c r="L107" s="1">
        <v>9.8407400000000003</v>
      </c>
      <c r="M107" s="1">
        <v>4573.38184</v>
      </c>
      <c r="N107" s="1">
        <v>19.89423</v>
      </c>
      <c r="O107" s="1">
        <v>978.78205000000003</v>
      </c>
      <c r="P107" s="1">
        <v>2693.7894299999998</v>
      </c>
      <c r="Q107" s="1">
        <v>0.1731</v>
      </c>
      <c r="R107" s="1">
        <v>0.30287999999999998</v>
      </c>
      <c r="S107" s="1">
        <v>32.806440000000002</v>
      </c>
      <c r="T107" s="1">
        <v>5.04603</v>
      </c>
      <c r="U107" s="1">
        <v>271.86939999999998</v>
      </c>
      <c r="V107" s="1">
        <v>0</v>
      </c>
      <c r="W107" s="1">
        <v>0</v>
      </c>
      <c r="X107" s="1">
        <v>0</v>
      </c>
      <c r="Y107" s="1">
        <v>0</v>
      </c>
      <c r="Z107" s="1">
        <v>0</v>
      </c>
      <c r="AA107" s="1">
        <v>0</v>
      </c>
      <c r="AB107" s="1">
        <v>0</v>
      </c>
      <c r="AC107" s="1">
        <v>0</v>
      </c>
      <c r="AD107" s="1">
        <v>0</v>
      </c>
      <c r="AE107" s="1">
        <v>0</v>
      </c>
      <c r="AF107" s="1">
        <v>0</v>
      </c>
      <c r="AG107" s="1">
        <v>232.6052</v>
      </c>
      <c r="AH107" s="1">
        <v>0</v>
      </c>
      <c r="AI107" s="1">
        <v>191.15698</v>
      </c>
      <c r="AJ107" s="1">
        <v>2590.1788000000001</v>
      </c>
      <c r="AK107" s="1">
        <v>3250.0402445200002</v>
      </c>
      <c r="AL107" s="1">
        <v>0</v>
      </c>
      <c r="AM107" s="1">
        <v>0</v>
      </c>
      <c r="AN107" s="1">
        <v>0</v>
      </c>
      <c r="AO107" s="1">
        <v>0</v>
      </c>
      <c r="AP107" s="1"/>
      <c r="AQ107" s="1" t="str">
        <f t="shared" si="14"/>
        <v>p</v>
      </c>
      <c r="AR107" s="1"/>
      <c r="AS107" s="1"/>
      <c r="AT107" s="1"/>
      <c r="AU107" s="1"/>
      <c r="AV107" s="1"/>
      <c r="AW107" s="1"/>
      <c r="AX107" s="1"/>
    </row>
    <row r="108" spans="1:50" ht="53.25" customHeight="1" x14ac:dyDescent="0.15">
      <c r="E108" s="1" t="str">
        <f>FHD_NUM_P_30</f>
        <v>2.12.1</v>
      </c>
      <c r="F108" s="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108" s="1" t="s">
        <v>599</v>
      </c>
      <c r="H108" s="1" t="s">
        <v>1685</v>
      </c>
      <c r="I108" s="1" t="s">
        <v>1685</v>
      </c>
      <c r="J108" s="1" t="s">
        <v>1685</v>
      </c>
      <c r="K108" s="1" t="s">
        <v>1685</v>
      </c>
      <c r="L108" s="1" t="s">
        <v>1685</v>
      </c>
      <c r="M108" s="1" t="s">
        <v>1685</v>
      </c>
      <c r="N108" s="1" t="s">
        <v>1685</v>
      </c>
      <c r="O108" s="1" t="s">
        <v>1685</v>
      </c>
      <c r="P108" s="1" t="s">
        <v>1685</v>
      </c>
      <c r="Q108" s="1" t="s">
        <v>1685</v>
      </c>
      <c r="R108" s="1" t="s">
        <v>1685</v>
      </c>
      <c r="S108" s="1" t="s">
        <v>1685</v>
      </c>
      <c r="T108" s="1" t="s">
        <v>1685</v>
      </c>
      <c r="U108" s="1" t="s">
        <v>1685</v>
      </c>
      <c r="V108" s="1" t="s">
        <v>1685</v>
      </c>
      <c r="W108" s="1" t="s">
        <v>1685</v>
      </c>
      <c r="X108" s="1" t="s">
        <v>1685</v>
      </c>
      <c r="Y108" s="1" t="s">
        <v>1685</v>
      </c>
      <c r="Z108" s="1" t="s">
        <v>1685</v>
      </c>
      <c r="AA108" s="1" t="s">
        <v>1685</v>
      </c>
      <c r="AB108" s="1" t="s">
        <v>1685</v>
      </c>
      <c r="AC108" s="1" t="s">
        <v>1685</v>
      </c>
      <c r="AD108" s="1" t="s">
        <v>1685</v>
      </c>
      <c r="AE108" s="1" t="s">
        <v>1685</v>
      </c>
      <c r="AF108" s="1" t="s">
        <v>1685</v>
      </c>
      <c r="AG108" s="1" t="s">
        <v>1685</v>
      </c>
      <c r="AH108" s="1" t="s">
        <v>1685</v>
      </c>
      <c r="AI108" s="1" t="s">
        <v>1685</v>
      </c>
      <c r="AJ108" s="1" t="s">
        <v>1685</v>
      </c>
      <c r="AK108" s="1" t="s">
        <v>1685</v>
      </c>
      <c r="AL108" s="1" t="s">
        <v>1685</v>
      </c>
      <c r="AM108" s="1" t="s">
        <v>1685</v>
      </c>
      <c r="AN108" s="1" t="s">
        <v>1685</v>
      </c>
      <c r="AO108" s="1" t="s">
        <v>1685</v>
      </c>
      <c r="AP108" s="1" t="s">
        <v>1685</v>
      </c>
      <c r="AQ108" s="1" t="str">
        <f t="shared" si="14"/>
        <v/>
      </c>
      <c r="AR108" s="1">
        <f>IFERROR(MATCH("есть",B_FHD_FLAG_INDEX_1,0),0)</f>
        <v>0</v>
      </c>
      <c r="AS108" s="1"/>
      <c r="AT108" s="1"/>
      <c r="AU108" s="1"/>
      <c r="AV108" s="1"/>
      <c r="AW108" s="1"/>
      <c r="AX108" s="1"/>
    </row>
    <row r="109" spans="1:50" ht="15" hidden="1" customHeight="1" x14ac:dyDescent="0.15">
      <c r="A109" s="6" t="s">
        <v>1989</v>
      </c>
      <c r="E109" s="1" t="str">
        <f>FHD_NUM_P_31</f>
        <v/>
      </c>
      <c r="F109" s="1" t="str">
        <f>FHD_P_31</f>
        <v/>
      </c>
      <c r="G109" s="1" t="s">
        <v>1976</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t="str">
        <f t="shared" si="14"/>
        <v/>
      </c>
      <c r="AR109" s="1"/>
      <c r="AS109" s="1"/>
      <c r="AT109" s="1"/>
      <c r="AU109" s="1"/>
      <c r="AV109" s="1"/>
      <c r="AW109" s="1"/>
      <c r="AX109" s="1"/>
    </row>
    <row r="110" spans="1:50" ht="15" hidden="1" customHeight="1" x14ac:dyDescent="0.15">
      <c r="A110" s="6"/>
      <c r="E110" s="1" t="str">
        <f>FHD_NUM_P_32</f>
        <v/>
      </c>
      <c r="F110" s="1" t="str">
        <f>FHD_P_32</f>
        <v/>
      </c>
      <c r="G110" s="1" t="s">
        <v>599</v>
      </c>
      <c r="H110" s="1" t="s">
        <v>1685</v>
      </c>
      <c r="I110" s="1" t="s">
        <v>1685</v>
      </c>
      <c r="J110" s="1" t="s">
        <v>1685</v>
      </c>
      <c r="K110" s="1" t="s">
        <v>1685</v>
      </c>
      <c r="L110" s="1" t="s">
        <v>1685</v>
      </c>
      <c r="M110" s="1" t="s">
        <v>1685</v>
      </c>
      <c r="N110" s="1" t="s">
        <v>1685</v>
      </c>
      <c r="O110" s="1" t="s">
        <v>1685</v>
      </c>
      <c r="P110" s="1" t="s">
        <v>1685</v>
      </c>
      <c r="Q110" s="1" t="s">
        <v>1685</v>
      </c>
      <c r="R110" s="1" t="s">
        <v>1685</v>
      </c>
      <c r="S110" s="1" t="s">
        <v>1685</v>
      </c>
      <c r="T110" s="1" t="s">
        <v>1685</v>
      </c>
      <c r="U110" s="1" t="s">
        <v>1685</v>
      </c>
      <c r="V110" s="1" t="s">
        <v>1685</v>
      </c>
      <c r="W110" s="1" t="s">
        <v>1685</v>
      </c>
      <c r="X110" s="1" t="s">
        <v>1685</v>
      </c>
      <c r="Y110" s="1" t="s">
        <v>1685</v>
      </c>
      <c r="Z110" s="1" t="s">
        <v>1685</v>
      </c>
      <c r="AA110" s="1" t="s">
        <v>1685</v>
      </c>
      <c r="AB110" s="1" t="s">
        <v>1685</v>
      </c>
      <c r="AC110" s="1" t="s">
        <v>1685</v>
      </c>
      <c r="AD110" s="1" t="s">
        <v>1685</v>
      </c>
      <c r="AE110" s="1" t="s">
        <v>1685</v>
      </c>
      <c r="AF110" s="1" t="s">
        <v>1685</v>
      </c>
      <c r="AG110" s="1" t="s">
        <v>1685</v>
      </c>
      <c r="AH110" s="1" t="s">
        <v>1685</v>
      </c>
      <c r="AI110" s="1" t="s">
        <v>1685</v>
      </c>
      <c r="AJ110" s="1" t="s">
        <v>1685</v>
      </c>
      <c r="AK110" s="1" t="s">
        <v>1685</v>
      </c>
      <c r="AL110" s="1" t="s">
        <v>1685</v>
      </c>
      <c r="AM110" s="1" t="s">
        <v>1685</v>
      </c>
      <c r="AN110" s="1" t="s">
        <v>1685</v>
      </c>
      <c r="AO110" s="1" t="s">
        <v>1685</v>
      </c>
      <c r="AP110" s="1" t="s">
        <v>1685</v>
      </c>
      <c r="AQ110" s="1" t="str">
        <f t="shared" si="14"/>
        <v/>
      </c>
      <c r="AR110" s="1">
        <f>IFERROR(MATCH("есть",B_FHD_FLAG_INDEX_2,0),0)</f>
        <v>0</v>
      </c>
      <c r="AS110" s="1"/>
      <c r="AT110" s="1"/>
      <c r="AU110" s="1"/>
      <c r="AV110" s="1"/>
      <c r="AW110" s="1"/>
      <c r="AX110" s="1"/>
    </row>
    <row r="111" spans="1:50" ht="45.75" customHeight="1" x14ac:dyDescent="0.15">
      <c r="E111" s="1" t="str">
        <f>FHD_NUM_P_33</f>
        <v>2.13</v>
      </c>
      <c r="F111" s="1" t="str">
        <f>FHD_P_33</f>
        <v>Прочие расходы, которые подлежат отнесению на регулируемые виды деятельности в соответствии с законодательством Российской Федерации</v>
      </c>
      <c r="G111" s="1" t="s">
        <v>1976</v>
      </c>
      <c r="H111" s="1">
        <f t="shared" ref="H111:AP111" si="15">SUM(H112:H126)</f>
        <v>0</v>
      </c>
      <c r="I111" s="1">
        <f t="shared" si="15"/>
        <v>537510.77509000013</v>
      </c>
      <c r="J111" s="1">
        <f t="shared" si="15"/>
        <v>38031.525099999999</v>
      </c>
      <c r="K111" s="1">
        <f t="shared" si="15"/>
        <v>14541.215029999999</v>
      </c>
      <c r="L111" s="1">
        <f t="shared" si="15"/>
        <v>6.0111600000000003</v>
      </c>
      <c r="M111" s="1">
        <f t="shared" si="15"/>
        <v>15828.87803</v>
      </c>
      <c r="N111" s="1">
        <f t="shared" si="15"/>
        <v>558.76755000000003</v>
      </c>
      <c r="O111" s="1">
        <f t="shared" si="15"/>
        <v>1601.42839</v>
      </c>
      <c r="P111" s="1">
        <f t="shared" si="15"/>
        <v>195.95174000000003</v>
      </c>
      <c r="Q111" s="1">
        <f t="shared" si="15"/>
        <v>97.149530000000013</v>
      </c>
      <c r="R111" s="1">
        <f t="shared" si="15"/>
        <v>3.0385800000000001</v>
      </c>
      <c r="S111" s="1">
        <f t="shared" si="15"/>
        <v>106.30295000000001</v>
      </c>
      <c r="T111" s="1">
        <f t="shared" si="15"/>
        <v>5.0228799999999998</v>
      </c>
      <c r="U111" s="1">
        <f t="shared" si="15"/>
        <v>775.86638999999991</v>
      </c>
      <c r="V111" s="1">
        <f t="shared" si="15"/>
        <v>0</v>
      </c>
      <c r="W111" s="1">
        <f t="shared" si="15"/>
        <v>0</v>
      </c>
      <c r="X111" s="1">
        <f t="shared" si="15"/>
        <v>0</v>
      </c>
      <c r="Y111" s="1">
        <f t="shared" si="15"/>
        <v>0</v>
      </c>
      <c r="Z111" s="1">
        <f t="shared" si="15"/>
        <v>0</v>
      </c>
      <c r="AA111" s="1">
        <f t="shared" si="15"/>
        <v>0</v>
      </c>
      <c r="AB111" s="1">
        <f t="shared" si="15"/>
        <v>0</v>
      </c>
      <c r="AC111" s="1">
        <f t="shared" si="15"/>
        <v>0</v>
      </c>
      <c r="AD111" s="1">
        <f t="shared" si="15"/>
        <v>0</v>
      </c>
      <c r="AE111" s="1">
        <f t="shared" si="15"/>
        <v>0</v>
      </c>
      <c r="AF111" s="1">
        <f t="shared" si="15"/>
        <v>0</v>
      </c>
      <c r="AG111" s="1">
        <f t="shared" si="15"/>
        <v>0</v>
      </c>
      <c r="AH111" s="1">
        <f t="shared" si="15"/>
        <v>0</v>
      </c>
      <c r="AI111" s="1">
        <f t="shared" si="15"/>
        <v>505.59787999999998</v>
      </c>
      <c r="AJ111" s="1">
        <f t="shared" si="15"/>
        <v>3476.20937</v>
      </c>
      <c r="AK111" s="1">
        <f t="shared" si="15"/>
        <v>2202.3226962600002</v>
      </c>
      <c r="AL111" s="1">
        <f t="shared" si="15"/>
        <v>0</v>
      </c>
      <c r="AM111" s="1">
        <f t="shared" si="15"/>
        <v>0</v>
      </c>
      <c r="AN111" s="1">
        <f t="shared" si="15"/>
        <v>0</v>
      </c>
      <c r="AO111" s="1">
        <f t="shared" si="15"/>
        <v>0</v>
      </c>
      <c r="AP111" s="1">
        <f t="shared" si="15"/>
        <v>0</v>
      </c>
      <c r="AQ111" s="1" t="str">
        <f t="shared" si="14"/>
        <v>p</v>
      </c>
      <c r="AR111" s="1"/>
      <c r="AS111" s="1"/>
      <c r="AT111" s="1"/>
      <c r="AU111" s="1"/>
      <c r="AV111" s="1"/>
      <c r="AW111" s="1"/>
      <c r="AX111" s="1"/>
    </row>
    <row r="112" spans="1:50" ht="0" hidden="1" customHeight="1" x14ac:dyDescent="0.15">
      <c r="E112" s="1" t="str">
        <f>E111&amp;".0"</f>
        <v>2.13.0</v>
      </c>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t="str">
        <f t="shared" si="14"/>
        <v/>
      </c>
      <c r="AR112" s="1"/>
      <c r="AS112" s="1"/>
      <c r="AT112" s="1"/>
      <c r="AU112" s="1"/>
      <c r="AV112" s="1"/>
      <c r="AW112" s="1"/>
      <c r="AX112" s="1"/>
    </row>
    <row r="113" spans="1:50" ht="15" customHeight="1" x14ac:dyDescent="0.15">
      <c r="D113" t="s">
        <v>90</v>
      </c>
      <c r="E113" s="1" t="str">
        <f>E111&amp;".1"</f>
        <v>2.13.1</v>
      </c>
      <c r="F113" s="1" t="s">
        <v>1990</v>
      </c>
      <c r="G113" s="1" t="s">
        <v>1976</v>
      </c>
      <c r="H113" s="1"/>
      <c r="I113" s="1">
        <v>448555.43527999998</v>
      </c>
      <c r="J113" s="1">
        <v>29737.677210000002</v>
      </c>
      <c r="K113" s="1">
        <v>10782.001679999999</v>
      </c>
      <c r="L113" s="1">
        <v>3.1061999999999999</v>
      </c>
      <c r="M113" s="1">
        <v>11579.26058</v>
      </c>
      <c r="N113" s="1">
        <v>190.14055999999999</v>
      </c>
      <c r="O113" s="1">
        <v>189.08877000000001</v>
      </c>
      <c r="P113" s="1">
        <v>174.70016000000001</v>
      </c>
      <c r="Q113" s="1">
        <v>89.041589999999999</v>
      </c>
      <c r="R113" s="1">
        <v>2.7557800000000001</v>
      </c>
      <c r="S113" s="1">
        <v>77.739170000000001</v>
      </c>
      <c r="T113" s="1">
        <v>0</v>
      </c>
      <c r="U113" s="1">
        <v>691.64050999999995</v>
      </c>
      <c r="V113" s="1">
        <v>0</v>
      </c>
      <c r="W113" s="1">
        <v>0</v>
      </c>
      <c r="X113" s="1">
        <v>0</v>
      </c>
      <c r="Y113" s="1">
        <v>0</v>
      </c>
      <c r="Z113" s="1">
        <v>0</v>
      </c>
      <c r="AA113" s="1">
        <v>0</v>
      </c>
      <c r="AB113" s="1">
        <v>0</v>
      </c>
      <c r="AC113" s="1">
        <v>0</v>
      </c>
      <c r="AD113" s="1">
        <v>0</v>
      </c>
      <c r="AE113" s="1">
        <v>0</v>
      </c>
      <c r="AF113" s="1">
        <v>0</v>
      </c>
      <c r="AG113" s="1">
        <v>0</v>
      </c>
      <c r="AH113" s="1">
        <v>0</v>
      </c>
      <c r="AI113" s="1">
        <v>430.85172999999998</v>
      </c>
      <c r="AJ113" s="1">
        <v>2757.1668399999999</v>
      </c>
      <c r="AK113" s="1">
        <v>1957.420057669</v>
      </c>
      <c r="AL113" s="1">
        <v>0</v>
      </c>
      <c r="AM113" s="1">
        <v>0</v>
      </c>
      <c r="AN113" s="1">
        <v>0</v>
      </c>
      <c r="AO113" s="1">
        <v>0</v>
      </c>
      <c r="AP113" s="1"/>
      <c r="AQ113" s="1"/>
      <c r="AR113" s="1"/>
      <c r="AS113" s="1"/>
      <c r="AT113" s="1"/>
      <c r="AU113" s="1"/>
      <c r="AV113" s="1"/>
      <c r="AW113" s="1"/>
      <c r="AX113" s="1"/>
    </row>
    <row r="114" spans="1:50" ht="15" customHeight="1" x14ac:dyDescent="0.15">
      <c r="D114" t="s">
        <v>90</v>
      </c>
      <c r="E114" s="1" t="str">
        <f>E111&amp;".2"</f>
        <v>2.13.2</v>
      </c>
      <c r="F114" s="1" t="s">
        <v>1991</v>
      </c>
      <c r="G114" s="1" t="s">
        <v>1976</v>
      </c>
      <c r="H114" s="1"/>
      <c r="I114" s="1">
        <v>32436.31206</v>
      </c>
      <c r="J114" s="1">
        <v>2246.0102200000001</v>
      </c>
      <c r="K114" s="1">
        <v>58.425539999999998</v>
      </c>
      <c r="L114" s="1">
        <v>0</v>
      </c>
      <c r="M114" s="1">
        <v>28.832909999999998</v>
      </c>
      <c r="N114" s="1">
        <v>9.2752300000000005</v>
      </c>
      <c r="O114" s="1">
        <v>4.5224399999999996</v>
      </c>
      <c r="P114" s="1">
        <v>0</v>
      </c>
      <c r="Q114" s="1">
        <v>0.29004000000000002</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25.60783</v>
      </c>
      <c r="AJ114" s="1">
        <v>189.25371000000001</v>
      </c>
      <c r="AK114" s="1">
        <v>2.6833200000000001E-2</v>
      </c>
      <c r="AL114" s="1">
        <v>0</v>
      </c>
      <c r="AM114" s="1">
        <v>0</v>
      </c>
      <c r="AN114" s="1">
        <v>0</v>
      </c>
      <c r="AO114" s="1">
        <v>0</v>
      </c>
      <c r="AP114" s="1"/>
      <c r="AQ114" s="1"/>
      <c r="AR114" s="1"/>
      <c r="AS114" s="1"/>
      <c r="AT114" s="1"/>
      <c r="AU114" s="1"/>
      <c r="AV114" s="1"/>
      <c r="AW114" s="1"/>
      <c r="AX114" s="1"/>
    </row>
    <row r="115" spans="1:50" ht="15" customHeight="1" x14ac:dyDescent="0.15">
      <c r="D115" t="s">
        <v>90</v>
      </c>
      <c r="E115" s="1" t="str">
        <f>E111&amp;".3"</f>
        <v>2.13.3</v>
      </c>
      <c r="F115" s="1" t="s">
        <v>1992</v>
      </c>
      <c r="G115" s="1" t="s">
        <v>1976</v>
      </c>
      <c r="H115" s="1"/>
      <c r="I115" s="1">
        <v>24480.18864</v>
      </c>
      <c r="J115" s="1">
        <v>397.56684999999999</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30.930489999999999</v>
      </c>
      <c r="AK115" s="1">
        <v>0</v>
      </c>
      <c r="AL115" s="1">
        <v>0</v>
      </c>
      <c r="AM115" s="1">
        <v>0</v>
      </c>
      <c r="AN115" s="1">
        <v>0</v>
      </c>
      <c r="AO115" s="1">
        <v>0</v>
      </c>
      <c r="AP115" s="1"/>
      <c r="AQ115" s="1"/>
      <c r="AR115" s="1"/>
      <c r="AS115" s="1"/>
      <c r="AT115" s="1"/>
      <c r="AU115" s="1"/>
      <c r="AV115" s="1"/>
      <c r="AW115" s="1"/>
      <c r="AX115" s="1"/>
    </row>
    <row r="116" spans="1:50" ht="23.25" customHeight="1" x14ac:dyDescent="0.15">
      <c r="D116" t="s">
        <v>90</v>
      </c>
      <c r="E116" s="1" t="str">
        <f>E111&amp;".4"</f>
        <v>2.13.4</v>
      </c>
      <c r="F116" s="1" t="s">
        <v>1993</v>
      </c>
      <c r="G116" s="1" t="s">
        <v>1976</v>
      </c>
      <c r="H116" s="1"/>
      <c r="I116" s="1">
        <v>12079.601259999999</v>
      </c>
      <c r="J116" s="1">
        <v>749.97307000000001</v>
      </c>
      <c r="K116" s="1">
        <v>328.38502</v>
      </c>
      <c r="L116" s="1">
        <v>0</v>
      </c>
      <c r="M116" s="1">
        <v>50.765880000000003</v>
      </c>
      <c r="N116" s="1">
        <v>1.6484000000000001</v>
      </c>
      <c r="O116" s="1">
        <v>9.16967</v>
      </c>
      <c r="P116" s="1">
        <v>0</v>
      </c>
      <c r="Q116" s="1">
        <v>2.5594199999999998</v>
      </c>
      <c r="R116" s="1">
        <v>0</v>
      </c>
      <c r="S116" s="1">
        <v>0</v>
      </c>
      <c r="T116" s="1">
        <v>0</v>
      </c>
      <c r="U116" s="1">
        <v>42.536850000000001</v>
      </c>
      <c r="V116" s="1">
        <v>0</v>
      </c>
      <c r="W116" s="1">
        <v>0</v>
      </c>
      <c r="X116" s="1">
        <v>0</v>
      </c>
      <c r="Y116" s="1">
        <v>0</v>
      </c>
      <c r="Z116" s="1">
        <v>0</v>
      </c>
      <c r="AA116" s="1">
        <v>0</v>
      </c>
      <c r="AB116" s="1">
        <v>0</v>
      </c>
      <c r="AC116" s="1">
        <v>0</v>
      </c>
      <c r="AD116" s="1">
        <v>0</v>
      </c>
      <c r="AE116" s="1">
        <v>0</v>
      </c>
      <c r="AF116" s="1">
        <v>0</v>
      </c>
      <c r="AG116" s="1">
        <v>0</v>
      </c>
      <c r="AH116" s="1">
        <v>0</v>
      </c>
      <c r="AI116" s="1">
        <v>18.784199999999998</v>
      </c>
      <c r="AJ116" s="1">
        <v>51.457810000000002</v>
      </c>
      <c r="AK116" s="1">
        <v>0</v>
      </c>
      <c r="AL116" s="1">
        <v>0</v>
      </c>
      <c r="AM116" s="1">
        <v>0</v>
      </c>
      <c r="AN116" s="1">
        <v>0</v>
      </c>
      <c r="AO116" s="1">
        <v>0</v>
      </c>
      <c r="AP116" s="1"/>
      <c r="AQ116" s="1"/>
      <c r="AR116" s="1"/>
      <c r="AS116" s="1"/>
      <c r="AT116" s="1"/>
      <c r="AU116" s="1"/>
      <c r="AV116" s="1"/>
      <c r="AW116" s="1"/>
      <c r="AX116" s="1"/>
    </row>
    <row r="117" spans="1:50" ht="24" customHeight="1" x14ac:dyDescent="0.15">
      <c r="D117" t="s">
        <v>90</v>
      </c>
      <c r="E117" s="1" t="str">
        <f>E111&amp;".5"</f>
        <v>2.13.5</v>
      </c>
      <c r="F117" s="1" t="s">
        <v>1994</v>
      </c>
      <c r="G117" s="1" t="s">
        <v>1976</v>
      </c>
      <c r="H117" s="1"/>
      <c r="I117" s="1">
        <v>9510.5125800000005</v>
      </c>
      <c r="J117" s="1">
        <v>0</v>
      </c>
      <c r="K117" s="1">
        <v>0</v>
      </c>
      <c r="L117" s="1">
        <v>0.24163000000000001</v>
      </c>
      <c r="M117" s="1">
        <v>12.18942</v>
      </c>
      <c r="N117" s="1">
        <v>0.33323999999999998</v>
      </c>
      <c r="O117" s="1">
        <v>1.6768700000000001</v>
      </c>
      <c r="P117" s="1">
        <v>4.0565199999999999</v>
      </c>
      <c r="Q117" s="1">
        <v>0.38235000000000002</v>
      </c>
      <c r="R117" s="1">
        <v>8.7899999999999992E-3</v>
      </c>
      <c r="S117" s="1">
        <v>1.4779500000000001</v>
      </c>
      <c r="T117" s="1">
        <v>0.23186999999999999</v>
      </c>
      <c r="U117" s="1">
        <v>1.9631000000000001</v>
      </c>
      <c r="V117" s="1">
        <v>0</v>
      </c>
      <c r="W117" s="1">
        <v>0</v>
      </c>
      <c r="X117" s="1">
        <v>0</v>
      </c>
      <c r="Y117" s="1">
        <v>0</v>
      </c>
      <c r="Z117" s="1">
        <v>0</v>
      </c>
      <c r="AA117" s="1">
        <v>0</v>
      </c>
      <c r="AB117" s="1">
        <v>0</v>
      </c>
      <c r="AC117" s="1">
        <v>0</v>
      </c>
      <c r="AD117" s="1">
        <v>0</v>
      </c>
      <c r="AE117" s="1">
        <v>0</v>
      </c>
      <c r="AF117" s="1">
        <v>0</v>
      </c>
      <c r="AG117" s="1">
        <v>0</v>
      </c>
      <c r="AH117" s="1">
        <v>0</v>
      </c>
      <c r="AI117" s="1">
        <v>2.3149299999999999</v>
      </c>
      <c r="AJ117" s="1">
        <v>0</v>
      </c>
      <c r="AK117" s="1">
        <v>0</v>
      </c>
      <c r="AL117" s="1">
        <v>0</v>
      </c>
      <c r="AM117" s="1">
        <v>0</v>
      </c>
      <c r="AN117" s="1">
        <v>0</v>
      </c>
      <c r="AO117" s="1">
        <v>0</v>
      </c>
      <c r="AP117" s="1"/>
      <c r="AQ117" s="1"/>
      <c r="AR117" s="1"/>
      <c r="AS117" s="1"/>
      <c r="AT117" s="1"/>
      <c r="AU117" s="1"/>
      <c r="AV117" s="1"/>
      <c r="AW117" s="1"/>
      <c r="AX117" s="1"/>
    </row>
    <row r="118" spans="1:50" ht="13.5" customHeight="1" x14ac:dyDescent="0.15">
      <c r="D118" t="s">
        <v>90</v>
      </c>
      <c r="E118" s="1" t="str">
        <f>E111&amp;".6"</f>
        <v>2.13.6</v>
      </c>
      <c r="F118" s="1" t="s">
        <v>1995</v>
      </c>
      <c r="G118" s="1" t="s">
        <v>1976</v>
      </c>
      <c r="H118" s="1"/>
      <c r="I118" s="1">
        <v>4571.7870199999998</v>
      </c>
      <c r="J118" s="1">
        <v>0</v>
      </c>
      <c r="K118" s="1">
        <v>1313.2298499999999</v>
      </c>
      <c r="L118" s="1">
        <v>0</v>
      </c>
      <c r="M118" s="1">
        <v>0</v>
      </c>
      <c r="N118" s="1">
        <v>0</v>
      </c>
      <c r="O118" s="1">
        <v>0</v>
      </c>
      <c r="P118" s="1">
        <v>0</v>
      </c>
      <c r="Q118" s="1">
        <v>0</v>
      </c>
      <c r="R118" s="1">
        <v>0</v>
      </c>
      <c r="S118" s="1">
        <v>0</v>
      </c>
      <c r="T118" s="1">
        <v>0</v>
      </c>
      <c r="U118" s="1">
        <v>0</v>
      </c>
      <c r="V118" s="1">
        <v>0</v>
      </c>
      <c r="W118" s="1">
        <v>0</v>
      </c>
      <c r="X118" s="1">
        <v>0</v>
      </c>
      <c r="Y118" s="1">
        <v>0</v>
      </c>
      <c r="Z118" s="1">
        <v>0</v>
      </c>
      <c r="AA118" s="1">
        <v>0</v>
      </c>
      <c r="AB118" s="1">
        <v>0</v>
      </c>
      <c r="AC118" s="1">
        <v>0</v>
      </c>
      <c r="AD118" s="1">
        <v>0</v>
      </c>
      <c r="AE118" s="1">
        <v>0</v>
      </c>
      <c r="AF118" s="1">
        <v>0</v>
      </c>
      <c r="AG118" s="1">
        <v>0</v>
      </c>
      <c r="AH118" s="1">
        <v>0</v>
      </c>
      <c r="AI118" s="1">
        <v>0</v>
      </c>
      <c r="AJ118" s="1">
        <v>0</v>
      </c>
      <c r="AK118" s="1">
        <v>139.715618581</v>
      </c>
      <c r="AL118" s="1">
        <v>0</v>
      </c>
      <c r="AM118" s="1">
        <v>0</v>
      </c>
      <c r="AN118" s="1">
        <v>0</v>
      </c>
      <c r="AO118" s="1">
        <v>0</v>
      </c>
      <c r="AP118" s="1"/>
      <c r="AQ118" s="1"/>
      <c r="AR118" s="1"/>
      <c r="AS118" s="1"/>
      <c r="AT118" s="1"/>
      <c r="AU118" s="1"/>
      <c r="AV118" s="1"/>
      <c r="AW118" s="1"/>
      <c r="AX118" s="1"/>
    </row>
    <row r="119" spans="1:50" ht="15" customHeight="1" x14ac:dyDescent="0.15">
      <c r="D119" t="s">
        <v>90</v>
      </c>
      <c r="E119" s="1" t="str">
        <f>E111&amp;".7"</f>
        <v>2.13.7</v>
      </c>
      <c r="F119" s="1" t="s">
        <v>1996</v>
      </c>
      <c r="G119" s="1" t="s">
        <v>1976</v>
      </c>
      <c r="H119" s="1"/>
      <c r="I119" s="1">
        <v>1124.1946700000001</v>
      </c>
      <c r="J119" s="1">
        <v>0</v>
      </c>
      <c r="K119" s="1"/>
      <c r="L119" s="1">
        <v>0</v>
      </c>
      <c r="M119" s="1">
        <v>14.498849999999999</v>
      </c>
      <c r="N119" s="1">
        <v>0</v>
      </c>
      <c r="O119" s="1">
        <v>0</v>
      </c>
      <c r="P119" s="1">
        <v>0</v>
      </c>
      <c r="Q119" s="1">
        <v>0</v>
      </c>
      <c r="R119" s="1">
        <v>0</v>
      </c>
      <c r="S119" s="1">
        <v>0</v>
      </c>
      <c r="T119" s="1">
        <v>0</v>
      </c>
      <c r="U119" s="1">
        <v>0</v>
      </c>
      <c r="V119" s="1">
        <v>0</v>
      </c>
      <c r="W119" s="1">
        <v>0</v>
      </c>
      <c r="X119" s="1">
        <v>0</v>
      </c>
      <c r="Y119" s="1">
        <v>0</v>
      </c>
      <c r="Z119" s="1">
        <v>0</v>
      </c>
      <c r="AA119" s="1">
        <v>0</v>
      </c>
      <c r="AB119" s="1">
        <v>0</v>
      </c>
      <c r="AC119" s="1">
        <v>0</v>
      </c>
      <c r="AD119" s="1">
        <v>0</v>
      </c>
      <c r="AE119" s="1">
        <v>0</v>
      </c>
      <c r="AF119" s="1">
        <v>0</v>
      </c>
      <c r="AG119" s="1">
        <v>0</v>
      </c>
      <c r="AH119" s="1">
        <v>0</v>
      </c>
      <c r="AI119" s="1">
        <v>2.6089999999999999E-2</v>
      </c>
      <c r="AJ119" s="1">
        <v>0</v>
      </c>
      <c r="AK119" s="1">
        <v>0</v>
      </c>
      <c r="AL119" s="1">
        <v>0</v>
      </c>
      <c r="AM119" s="1">
        <v>0</v>
      </c>
      <c r="AN119" s="1">
        <v>0</v>
      </c>
      <c r="AO119" s="1">
        <v>0</v>
      </c>
      <c r="AP119" s="1"/>
      <c r="AQ119" s="1"/>
      <c r="AR119" s="1"/>
      <c r="AS119" s="1"/>
      <c r="AT119" s="1"/>
      <c r="AU119" s="1"/>
      <c r="AV119" s="1"/>
      <c r="AW119" s="1"/>
      <c r="AX119" s="1"/>
    </row>
    <row r="120" spans="1:50" ht="15" customHeight="1" x14ac:dyDescent="0.15">
      <c r="D120" t="s">
        <v>90</v>
      </c>
      <c r="E120" s="1" t="str">
        <f>E111&amp;".8"</f>
        <v>2.13.8</v>
      </c>
      <c r="F120" s="1" t="s">
        <v>1997</v>
      </c>
      <c r="G120" s="1" t="s">
        <v>1976</v>
      </c>
      <c r="H120" s="1"/>
      <c r="I120" s="1">
        <v>1613.13582</v>
      </c>
      <c r="J120" s="1">
        <v>1930.43607</v>
      </c>
      <c r="K120" s="1">
        <v>70.887</v>
      </c>
      <c r="L120" s="1">
        <v>0</v>
      </c>
      <c r="M120" s="1">
        <v>13.98171</v>
      </c>
      <c r="N120" s="1">
        <v>0.22065000000000001</v>
      </c>
      <c r="O120" s="1">
        <v>1.69963</v>
      </c>
      <c r="P120" s="1">
        <v>1.02382</v>
      </c>
      <c r="Q120" s="1">
        <v>0.23724999999999999</v>
      </c>
      <c r="R120" s="1">
        <v>0</v>
      </c>
      <c r="S120" s="1">
        <v>0.12479999999999999</v>
      </c>
      <c r="T120" s="1">
        <v>0</v>
      </c>
      <c r="U120" s="1">
        <v>0.85294999999999999</v>
      </c>
      <c r="V120" s="1">
        <v>0</v>
      </c>
      <c r="W120" s="1">
        <v>0</v>
      </c>
      <c r="X120" s="1">
        <v>0</v>
      </c>
      <c r="Y120" s="1">
        <v>0</v>
      </c>
      <c r="Z120" s="1">
        <v>0</v>
      </c>
      <c r="AA120" s="1">
        <v>0</v>
      </c>
      <c r="AB120" s="1">
        <v>0</v>
      </c>
      <c r="AC120" s="1">
        <v>0</v>
      </c>
      <c r="AD120" s="1">
        <v>0</v>
      </c>
      <c r="AE120" s="1">
        <v>0</v>
      </c>
      <c r="AF120" s="1">
        <v>0</v>
      </c>
      <c r="AG120" s="1">
        <v>0</v>
      </c>
      <c r="AH120" s="1">
        <v>0</v>
      </c>
      <c r="AI120" s="1">
        <v>3.1829999999999997E-2</v>
      </c>
      <c r="AJ120" s="1">
        <v>153.92983000000001</v>
      </c>
      <c r="AK120" s="1">
        <v>15.2386377</v>
      </c>
      <c r="AL120" s="1">
        <v>0</v>
      </c>
      <c r="AM120" s="1">
        <v>0</v>
      </c>
      <c r="AN120" s="1">
        <v>0</v>
      </c>
      <c r="AO120" s="1">
        <v>0</v>
      </c>
      <c r="AP120" s="1"/>
      <c r="AQ120" s="1"/>
      <c r="AR120" s="1"/>
      <c r="AS120" s="1"/>
      <c r="AT120" s="1"/>
      <c r="AU120" s="1"/>
      <c r="AV120" s="1"/>
      <c r="AW120" s="1"/>
      <c r="AX120" s="1"/>
    </row>
    <row r="121" spans="1:50" ht="15" customHeight="1" x14ac:dyDescent="0.15">
      <c r="D121" t="s">
        <v>90</v>
      </c>
      <c r="E121" s="1" t="str">
        <f>E111&amp;".9"</f>
        <v>2.13.9</v>
      </c>
      <c r="F121" s="1" t="s">
        <v>1998</v>
      </c>
      <c r="G121" s="1" t="s">
        <v>1976</v>
      </c>
      <c r="H121" s="1"/>
      <c r="I121" s="1">
        <v>1971.0247999999999</v>
      </c>
      <c r="J121" s="1">
        <v>280.43430999999998</v>
      </c>
      <c r="K121" s="1">
        <v>122.73667</v>
      </c>
      <c r="L121" s="1">
        <v>2.6849999999999999E-2</v>
      </c>
      <c r="M121" s="1">
        <v>6.5826799999999999</v>
      </c>
      <c r="N121" s="1">
        <v>0.26436999999999999</v>
      </c>
      <c r="O121" s="1">
        <v>16.868089999999999</v>
      </c>
      <c r="P121" s="1">
        <v>5.3183400000000001</v>
      </c>
      <c r="Q121" s="1">
        <v>2.4828700000000001</v>
      </c>
      <c r="R121" s="1">
        <v>0.24165</v>
      </c>
      <c r="S121" s="1">
        <v>0.21240999999999999</v>
      </c>
      <c r="T121" s="1">
        <v>0.49177999999999999</v>
      </c>
      <c r="U121" s="1">
        <v>14.902799999999999</v>
      </c>
      <c r="V121" s="1">
        <v>0</v>
      </c>
      <c r="W121" s="1">
        <v>0</v>
      </c>
      <c r="X121" s="1">
        <v>0</v>
      </c>
      <c r="Y121" s="1">
        <v>0</v>
      </c>
      <c r="Z121" s="1">
        <v>0</v>
      </c>
      <c r="AA121" s="1">
        <v>0</v>
      </c>
      <c r="AB121" s="1">
        <v>0</v>
      </c>
      <c r="AC121" s="1">
        <v>0</v>
      </c>
      <c r="AD121" s="1">
        <v>0</v>
      </c>
      <c r="AE121" s="1">
        <v>0</v>
      </c>
      <c r="AF121" s="1">
        <v>0</v>
      </c>
      <c r="AG121" s="1">
        <v>0</v>
      </c>
      <c r="AH121" s="1">
        <v>0</v>
      </c>
      <c r="AI121" s="1">
        <v>0</v>
      </c>
      <c r="AJ121" s="1">
        <v>21.782219999999999</v>
      </c>
      <c r="AK121" s="1">
        <v>0</v>
      </c>
      <c r="AL121" s="1">
        <v>0</v>
      </c>
      <c r="AM121" s="1">
        <v>0</v>
      </c>
      <c r="AN121" s="1">
        <v>0</v>
      </c>
      <c r="AO121" s="1">
        <v>0</v>
      </c>
      <c r="AP121" s="1"/>
      <c r="AQ121" s="1"/>
      <c r="AR121" s="1"/>
      <c r="AS121" s="1"/>
      <c r="AT121" s="1"/>
      <c r="AU121" s="1"/>
      <c r="AV121" s="1"/>
      <c r="AW121" s="1"/>
      <c r="AX121" s="1"/>
    </row>
    <row r="122" spans="1:50" ht="15" customHeight="1" x14ac:dyDescent="0.15">
      <c r="D122" t="s">
        <v>90</v>
      </c>
      <c r="E122" s="1" t="str">
        <f>E111&amp;".10"</f>
        <v>2.13.10</v>
      </c>
      <c r="F122" s="1" t="s">
        <v>1999</v>
      </c>
      <c r="G122" s="1" t="s">
        <v>1976</v>
      </c>
      <c r="H122" s="1"/>
      <c r="I122" s="1">
        <v>0</v>
      </c>
      <c r="J122" s="1">
        <v>1397.4773499999999</v>
      </c>
      <c r="K122" s="1">
        <v>0</v>
      </c>
      <c r="L122" s="1">
        <v>0</v>
      </c>
      <c r="M122" s="1">
        <v>0</v>
      </c>
      <c r="N122" s="1">
        <v>0</v>
      </c>
      <c r="O122" s="1">
        <v>0</v>
      </c>
      <c r="P122" s="1">
        <v>0</v>
      </c>
      <c r="Q122" s="1">
        <v>0</v>
      </c>
      <c r="R122" s="1">
        <v>0</v>
      </c>
      <c r="S122" s="1">
        <v>0</v>
      </c>
      <c r="T122" s="1">
        <v>0</v>
      </c>
      <c r="U122" s="1">
        <v>0</v>
      </c>
      <c r="V122" s="1">
        <v>0</v>
      </c>
      <c r="W122" s="1">
        <v>0</v>
      </c>
      <c r="X122" s="1">
        <v>0</v>
      </c>
      <c r="Y122" s="1">
        <v>0</v>
      </c>
      <c r="Z122" s="1">
        <v>0</v>
      </c>
      <c r="AA122" s="1">
        <v>0</v>
      </c>
      <c r="AB122" s="1">
        <v>0</v>
      </c>
      <c r="AC122" s="1">
        <v>0</v>
      </c>
      <c r="AD122" s="1">
        <v>0</v>
      </c>
      <c r="AE122" s="1">
        <v>0</v>
      </c>
      <c r="AF122" s="1">
        <v>0</v>
      </c>
      <c r="AG122" s="1">
        <v>0</v>
      </c>
      <c r="AH122" s="1">
        <v>0</v>
      </c>
      <c r="AI122" s="1">
        <v>0</v>
      </c>
      <c r="AJ122" s="1">
        <v>180.50806</v>
      </c>
      <c r="AK122" s="1">
        <v>0</v>
      </c>
      <c r="AL122" s="1">
        <v>0</v>
      </c>
      <c r="AM122" s="1">
        <v>0</v>
      </c>
      <c r="AN122" s="1">
        <v>0</v>
      </c>
      <c r="AO122" s="1">
        <v>0</v>
      </c>
      <c r="AP122" s="1"/>
      <c r="AQ122" s="1"/>
      <c r="AR122" s="1"/>
      <c r="AS122" s="1"/>
      <c r="AT122" s="1"/>
      <c r="AU122" s="1"/>
      <c r="AV122" s="1"/>
      <c r="AW122" s="1"/>
      <c r="AX122" s="1"/>
    </row>
    <row r="123" spans="1:50" ht="27.75" customHeight="1" x14ac:dyDescent="0.15">
      <c r="D123" t="s">
        <v>90</v>
      </c>
      <c r="E123" s="1" t="s">
        <v>2000</v>
      </c>
      <c r="F123" s="1" t="s">
        <v>2001</v>
      </c>
      <c r="G123" s="1" t="s">
        <v>1976</v>
      </c>
      <c r="H123" s="1"/>
      <c r="I123" s="1">
        <v>0</v>
      </c>
      <c r="J123" s="1">
        <v>144.96799999999999</v>
      </c>
      <c r="K123" s="1">
        <v>420.96731</v>
      </c>
      <c r="L123" s="1">
        <v>0</v>
      </c>
      <c r="M123" s="1">
        <v>0</v>
      </c>
      <c r="N123" s="1">
        <v>0</v>
      </c>
      <c r="O123" s="1">
        <v>0</v>
      </c>
      <c r="P123" s="1">
        <v>0</v>
      </c>
      <c r="Q123" s="1">
        <v>0</v>
      </c>
      <c r="R123" s="1">
        <v>0</v>
      </c>
      <c r="S123" s="1">
        <v>0</v>
      </c>
      <c r="T123" s="1">
        <v>0</v>
      </c>
      <c r="U123" s="1">
        <v>0</v>
      </c>
      <c r="V123" s="1">
        <v>0</v>
      </c>
      <c r="W123" s="1">
        <v>0</v>
      </c>
      <c r="X123" s="1">
        <v>0</v>
      </c>
      <c r="Y123" s="1">
        <v>0</v>
      </c>
      <c r="Z123" s="1">
        <v>0</v>
      </c>
      <c r="AA123" s="1">
        <v>0</v>
      </c>
      <c r="AB123" s="1">
        <v>0</v>
      </c>
      <c r="AC123" s="1">
        <v>0</v>
      </c>
      <c r="AD123" s="1">
        <v>0</v>
      </c>
      <c r="AE123" s="1">
        <v>0</v>
      </c>
      <c r="AF123" s="1">
        <v>0</v>
      </c>
      <c r="AG123" s="1">
        <v>0</v>
      </c>
      <c r="AH123" s="1">
        <v>0</v>
      </c>
      <c r="AI123" s="1">
        <v>0</v>
      </c>
      <c r="AJ123" s="1">
        <v>3.8680400000000001</v>
      </c>
      <c r="AK123" s="1">
        <v>12.152504649999999</v>
      </c>
      <c r="AL123" s="1">
        <v>0</v>
      </c>
      <c r="AM123" s="1">
        <v>0</v>
      </c>
      <c r="AN123" s="1">
        <v>0</v>
      </c>
      <c r="AO123" s="1">
        <v>0</v>
      </c>
      <c r="AP123" s="1"/>
      <c r="AQ123" s="1"/>
      <c r="AR123" s="1"/>
      <c r="AS123" s="1"/>
      <c r="AT123" s="1"/>
      <c r="AU123" s="1"/>
      <c r="AV123" s="1"/>
      <c r="AW123" s="1"/>
      <c r="AX123" s="1"/>
    </row>
    <row r="124" spans="1:50" ht="15" customHeight="1" x14ac:dyDescent="0.15">
      <c r="D124" t="s">
        <v>90</v>
      </c>
      <c r="E124" s="1" t="s">
        <v>2002</v>
      </c>
      <c r="F124" s="1" t="s">
        <v>2003</v>
      </c>
      <c r="G124" s="1" t="s">
        <v>1976</v>
      </c>
      <c r="H124" s="1"/>
      <c r="I124" s="1">
        <v>0</v>
      </c>
      <c r="J124" s="1">
        <v>64.381379999999993</v>
      </c>
      <c r="K124" s="1">
        <v>24.82931</v>
      </c>
      <c r="L124" s="1">
        <v>0</v>
      </c>
      <c r="M124" s="1">
        <v>0</v>
      </c>
      <c r="N124" s="1">
        <v>0</v>
      </c>
      <c r="O124" s="1">
        <v>0</v>
      </c>
      <c r="P124" s="1">
        <v>0</v>
      </c>
      <c r="Q124" s="1">
        <v>0</v>
      </c>
      <c r="R124" s="1">
        <v>0</v>
      </c>
      <c r="S124" s="1">
        <v>0</v>
      </c>
      <c r="T124" s="1">
        <v>0</v>
      </c>
      <c r="U124" s="1">
        <v>0</v>
      </c>
      <c r="V124" s="1">
        <v>0</v>
      </c>
      <c r="W124" s="1">
        <v>0</v>
      </c>
      <c r="X124" s="1">
        <v>0</v>
      </c>
      <c r="Y124" s="1">
        <v>0</v>
      </c>
      <c r="Z124" s="1">
        <v>0</v>
      </c>
      <c r="AA124" s="1">
        <v>0</v>
      </c>
      <c r="AB124" s="1">
        <v>0</v>
      </c>
      <c r="AC124" s="1">
        <v>0</v>
      </c>
      <c r="AD124" s="1">
        <v>0</v>
      </c>
      <c r="AE124" s="1">
        <v>0</v>
      </c>
      <c r="AF124" s="1">
        <v>0</v>
      </c>
      <c r="AG124" s="1">
        <v>0</v>
      </c>
      <c r="AH124" s="1">
        <v>0</v>
      </c>
      <c r="AI124" s="1">
        <v>0</v>
      </c>
      <c r="AJ124" s="1">
        <v>5.24512</v>
      </c>
      <c r="AK124" s="1">
        <v>3.6131201499999999</v>
      </c>
      <c r="AL124" s="1">
        <v>0</v>
      </c>
      <c r="AM124" s="1">
        <v>0</v>
      </c>
      <c r="AN124" s="1">
        <v>0</v>
      </c>
      <c r="AO124" s="1">
        <v>0</v>
      </c>
      <c r="AP124" s="1"/>
      <c r="AQ124" s="1"/>
      <c r="AR124" s="1"/>
      <c r="AS124" s="1"/>
      <c r="AT124" s="1"/>
      <c r="AU124" s="1"/>
      <c r="AV124" s="1"/>
      <c r="AW124" s="1"/>
      <c r="AX124" s="1"/>
    </row>
    <row r="125" spans="1:50" ht="15" customHeight="1" x14ac:dyDescent="0.15">
      <c r="D125" t="s">
        <v>90</v>
      </c>
      <c r="E125" s="1" t="s">
        <v>2004</v>
      </c>
      <c r="F125" s="1" t="s">
        <v>2005</v>
      </c>
      <c r="G125" s="1" t="s">
        <v>1976</v>
      </c>
      <c r="H125" s="1"/>
      <c r="I125" s="1">
        <v>1168.58296</v>
      </c>
      <c r="J125" s="1">
        <v>1082.6006400000001</v>
      </c>
      <c r="K125" s="1">
        <v>1419.7526499999999</v>
      </c>
      <c r="L125" s="1">
        <v>2.6364800000000002</v>
      </c>
      <c r="M125" s="1">
        <v>4122.7659999999996</v>
      </c>
      <c r="N125" s="1">
        <v>356.88510000000002</v>
      </c>
      <c r="O125" s="1">
        <v>1378.40292</v>
      </c>
      <c r="P125" s="1">
        <v>10.8529</v>
      </c>
      <c r="Q125" s="1">
        <v>2.1560100000000002</v>
      </c>
      <c r="R125" s="1">
        <v>3.236E-2</v>
      </c>
      <c r="S125" s="1">
        <v>26.748619999999999</v>
      </c>
      <c r="T125" s="1">
        <v>4.2992299999999997</v>
      </c>
      <c r="U125" s="1">
        <v>23.970179999999999</v>
      </c>
      <c r="V125" s="1">
        <v>0</v>
      </c>
      <c r="W125" s="1">
        <v>0</v>
      </c>
      <c r="X125" s="1">
        <v>0</v>
      </c>
      <c r="Y125" s="1">
        <v>0</v>
      </c>
      <c r="Z125" s="1">
        <v>0</v>
      </c>
      <c r="AA125" s="1">
        <v>0</v>
      </c>
      <c r="AB125" s="1">
        <v>0</v>
      </c>
      <c r="AC125" s="1">
        <v>0</v>
      </c>
      <c r="AD125" s="1">
        <v>0</v>
      </c>
      <c r="AE125" s="1">
        <v>0</v>
      </c>
      <c r="AF125" s="1">
        <v>0</v>
      </c>
      <c r="AG125" s="1">
        <v>0</v>
      </c>
      <c r="AH125" s="1">
        <v>0</v>
      </c>
      <c r="AI125" s="1">
        <v>27.981269999999999</v>
      </c>
      <c r="AJ125" s="1">
        <v>82.067250000000001</v>
      </c>
      <c r="AK125" s="1">
        <v>74.155924310000003</v>
      </c>
      <c r="AL125" s="1">
        <v>0</v>
      </c>
      <c r="AM125" s="1">
        <v>0</v>
      </c>
      <c r="AN125" s="1">
        <v>0</v>
      </c>
      <c r="AO125" s="1">
        <v>0</v>
      </c>
      <c r="AP125" s="1"/>
      <c r="AQ125" s="1"/>
      <c r="AR125" s="1"/>
      <c r="AS125" s="1"/>
      <c r="AT125" s="1"/>
      <c r="AU125" s="1"/>
      <c r="AV125" s="1"/>
      <c r="AW125" s="1"/>
      <c r="AX125" s="1"/>
    </row>
    <row r="126" spans="1:50" ht="15" customHeight="1" x14ac:dyDescent="0.15">
      <c r="E126" s="1"/>
      <c r="F126" s="1" t="s">
        <v>2006</v>
      </c>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34.5" customHeight="1" x14ac:dyDescent="0.15">
      <c r="A127" t="s">
        <v>2007</v>
      </c>
      <c r="E127" s="1" t="str">
        <f>FHD_NUM_P_34</f>
        <v>3</v>
      </c>
      <c r="F127" s="1" t="str">
        <f>FHD_P_34</f>
        <v>Валовая прибыль (убытки) от реализации товаров и оказания услуг по регулируемому виду деятельности</v>
      </c>
      <c r="G127" s="1" t="s">
        <v>1976</v>
      </c>
      <c r="H127" s="1"/>
      <c r="I127" s="1">
        <v>-8011932.8300000001</v>
      </c>
      <c r="J127" s="1">
        <v>-322310.29872000101</v>
      </c>
      <c r="K127" s="1">
        <v>-271277.92450999998</v>
      </c>
      <c r="L127" s="1">
        <v>0</v>
      </c>
      <c r="M127" s="1">
        <v>-73255.012950000004</v>
      </c>
      <c r="N127" s="1">
        <v>-4452.16</v>
      </c>
      <c r="O127" s="1">
        <v>-8620.02</v>
      </c>
      <c r="P127" s="1">
        <v>-6511.37</v>
      </c>
      <c r="Q127" s="1">
        <v>-894.28</v>
      </c>
      <c r="R127" s="1">
        <v>-18.57</v>
      </c>
      <c r="S127" s="1">
        <v>-2239.7800000000002</v>
      </c>
      <c r="T127" s="1">
        <v>-8295.57</v>
      </c>
      <c r="U127" s="1">
        <v>-6060.92</v>
      </c>
      <c r="V127" s="1">
        <v>21519.128140000001</v>
      </c>
      <c r="W127" s="1">
        <v>-59.05</v>
      </c>
      <c r="X127" s="1">
        <v>759.89</v>
      </c>
      <c r="Y127" s="1">
        <v>7.36</v>
      </c>
      <c r="Z127" s="1">
        <v>5176.1899999999996</v>
      </c>
      <c r="AA127" s="1">
        <v>0.09</v>
      </c>
      <c r="AB127" s="1">
        <v>466.12</v>
      </c>
      <c r="AC127" s="1">
        <v>-1.88</v>
      </c>
      <c r="AD127" s="1">
        <v>-10.81</v>
      </c>
      <c r="AE127" s="1">
        <v>8279.8799999999992</v>
      </c>
      <c r="AF127" s="1">
        <v>6.55</v>
      </c>
      <c r="AG127" s="1">
        <v>49.914688333299999</v>
      </c>
      <c r="AH127" s="1">
        <v>0</v>
      </c>
      <c r="AI127" s="1">
        <v>-3389.31</v>
      </c>
      <c r="AJ127" s="1">
        <v>-22435.242699999999</v>
      </c>
      <c r="AK127" s="1">
        <v>-16683.897582699999</v>
      </c>
      <c r="AL127" s="1">
        <v>7143.5</v>
      </c>
      <c r="AM127" s="1">
        <v>0</v>
      </c>
      <c r="AN127" s="1">
        <v>1267.6600000000001</v>
      </c>
      <c r="AO127" s="1">
        <v>1309.6199999999999</v>
      </c>
      <c r="AP127" s="1"/>
      <c r="AQ127" s="1"/>
      <c r="AR127" s="1"/>
      <c r="AS127" s="1"/>
      <c r="AT127" s="1"/>
      <c r="AU127" s="1"/>
      <c r="AV127" s="1"/>
      <c r="AW127" s="1"/>
      <c r="AX127" s="1"/>
    </row>
    <row r="128" spans="1:50" ht="32.25" customHeight="1" x14ac:dyDescent="0.15">
      <c r="E128" s="1" t="str">
        <f>FHD_NUM_P_35</f>
        <v>4</v>
      </c>
      <c r="F128" s="1" t="str">
        <f>FHD_P_35</f>
        <v>Чистая прибыль, полученная от регулируемого вида деятельности, в том числе:</v>
      </c>
      <c r="G128" s="1" t="s">
        <v>1976</v>
      </c>
      <c r="H128" s="1"/>
      <c r="I128" s="1">
        <v>390636.43650043302</v>
      </c>
      <c r="J128" s="1">
        <v>0</v>
      </c>
      <c r="K128" s="1">
        <v>0</v>
      </c>
      <c r="L128" s="1">
        <v>0</v>
      </c>
      <c r="M128" s="1">
        <v>0</v>
      </c>
      <c r="N128" s="1">
        <v>0</v>
      </c>
      <c r="O128" s="1">
        <v>0</v>
      </c>
      <c r="P128" s="1">
        <v>0</v>
      </c>
      <c r="Q128" s="1">
        <v>0</v>
      </c>
      <c r="R128" s="1">
        <v>0</v>
      </c>
      <c r="S128" s="1">
        <v>0</v>
      </c>
      <c r="T128" s="1">
        <v>0</v>
      </c>
      <c r="U128" s="1">
        <v>0</v>
      </c>
      <c r="V128" s="1">
        <v>21429.865927835101</v>
      </c>
      <c r="W128" s="1">
        <v>0</v>
      </c>
      <c r="X128" s="1">
        <v>756.74</v>
      </c>
      <c r="Y128" s="1">
        <v>7.33</v>
      </c>
      <c r="Z128" s="1">
        <v>5154.72</v>
      </c>
      <c r="AA128" s="1">
        <v>0.09</v>
      </c>
      <c r="AB128" s="1">
        <v>464.19</v>
      </c>
      <c r="AC128" s="1">
        <v>0.2</v>
      </c>
      <c r="AD128" s="1">
        <v>1.08</v>
      </c>
      <c r="AE128" s="1">
        <v>8245.5400000000009</v>
      </c>
      <c r="AF128" s="1">
        <v>6.53</v>
      </c>
      <c r="AG128" s="1">
        <v>49.707640191300001</v>
      </c>
      <c r="AH128" s="1">
        <v>0</v>
      </c>
      <c r="AI128" s="1">
        <v>0</v>
      </c>
      <c r="AJ128" s="1">
        <v>0</v>
      </c>
      <c r="AK128" s="1">
        <v>0</v>
      </c>
      <c r="AL128" s="1">
        <v>7113.8726661825303</v>
      </c>
      <c r="AM128" s="1">
        <v>0</v>
      </c>
      <c r="AN128" s="1">
        <v>1262.4023839473</v>
      </c>
      <c r="AO128" s="1">
        <v>1304.18311224952</v>
      </c>
      <c r="AP128" s="1"/>
      <c r="AQ128" s="1"/>
      <c r="AR128" s="1"/>
      <c r="AS128" s="1"/>
      <c r="AT128" s="1"/>
      <c r="AU128" s="1"/>
      <c r="AV128" s="1"/>
      <c r="AW128" s="1"/>
      <c r="AX128" s="1"/>
    </row>
    <row r="129" spans="1:50" ht="39.75" customHeight="1" x14ac:dyDescent="0.15">
      <c r="E129" s="1" t="str">
        <f>FHD_NUM_P_36</f>
        <v>4.1</v>
      </c>
      <c r="F129" s="1" t="str">
        <f>FHD_P_36</f>
        <v>Размер расходования чистой прибыли на финансирование мероприятий, предусмотренных инвестиционной программой регулируемой организации</v>
      </c>
      <c r="G129" s="1" t="s">
        <v>1976</v>
      </c>
      <c r="H129" s="1"/>
      <c r="I129" s="1">
        <v>99</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c r="AQ129" s="1"/>
      <c r="AR129" s="1"/>
      <c r="AS129" s="1"/>
      <c r="AT129" s="1"/>
      <c r="AU129" s="1"/>
      <c r="AV129" s="1"/>
      <c r="AW129" s="1"/>
      <c r="AX129" s="1"/>
    </row>
    <row r="130" spans="1:50" ht="13.5" customHeight="1" x14ac:dyDescent="0.15">
      <c r="E130" s="1" t="str">
        <f>FHD_NUM_P_37</f>
        <v>5</v>
      </c>
      <c r="F130" s="1" t="str">
        <f>FHD_P_37</f>
        <v>Изменение стоимости основных фондов, в том числе:</v>
      </c>
      <c r="G130" s="1" t="s">
        <v>1976</v>
      </c>
      <c r="H130" s="1"/>
      <c r="I130" s="1">
        <f>I131</f>
        <v>550602128.74000001</v>
      </c>
      <c r="J130" s="1">
        <f>J131</f>
        <v>141251206.20999998</v>
      </c>
      <c r="K130" s="1">
        <f>K131</f>
        <v>238568735.19</v>
      </c>
      <c r="L130" s="1">
        <v>0</v>
      </c>
      <c r="M130" s="1">
        <v>0</v>
      </c>
      <c r="N130" s="1">
        <f t="shared" ref="N130:AK130" si="16">N131</f>
        <v>0</v>
      </c>
      <c r="O130" s="1">
        <f t="shared" si="16"/>
        <v>0</v>
      </c>
      <c r="P130" s="1">
        <f t="shared" si="16"/>
        <v>0</v>
      </c>
      <c r="Q130" s="1">
        <f t="shared" si="16"/>
        <v>0</v>
      </c>
      <c r="R130" s="1">
        <f t="shared" si="16"/>
        <v>0</v>
      </c>
      <c r="S130" s="1">
        <f t="shared" si="16"/>
        <v>0</v>
      </c>
      <c r="T130" s="1">
        <f t="shared" si="16"/>
        <v>0</v>
      </c>
      <c r="U130" s="1">
        <f t="shared" si="16"/>
        <v>0</v>
      </c>
      <c r="V130" s="1">
        <f t="shared" si="16"/>
        <v>0</v>
      </c>
      <c r="W130" s="1">
        <f t="shared" si="16"/>
        <v>0</v>
      </c>
      <c r="X130" s="1">
        <f t="shared" si="16"/>
        <v>0</v>
      </c>
      <c r="Y130" s="1">
        <f t="shared" si="16"/>
        <v>0</v>
      </c>
      <c r="Z130" s="1">
        <f t="shared" si="16"/>
        <v>0</v>
      </c>
      <c r="AA130" s="1">
        <f t="shared" si="16"/>
        <v>0</v>
      </c>
      <c r="AB130" s="1">
        <f t="shared" si="16"/>
        <v>0</v>
      </c>
      <c r="AC130" s="1">
        <f t="shared" si="16"/>
        <v>0</v>
      </c>
      <c r="AD130" s="1">
        <f t="shared" si="16"/>
        <v>0</v>
      </c>
      <c r="AE130" s="1">
        <f t="shared" si="16"/>
        <v>0</v>
      </c>
      <c r="AF130" s="1">
        <f t="shared" si="16"/>
        <v>0</v>
      </c>
      <c r="AG130" s="1">
        <f t="shared" si="16"/>
        <v>0</v>
      </c>
      <c r="AH130" s="1">
        <f t="shared" si="16"/>
        <v>0</v>
      </c>
      <c r="AI130" s="1">
        <f t="shared" si="16"/>
        <v>0</v>
      </c>
      <c r="AJ130" s="1">
        <f t="shared" si="16"/>
        <v>0</v>
      </c>
      <c r="AK130" s="1">
        <f t="shared" si="16"/>
        <v>0</v>
      </c>
      <c r="AL130" s="1">
        <v>0</v>
      </c>
      <c r="AM130" s="1">
        <v>0</v>
      </c>
      <c r="AN130" s="1">
        <v>0</v>
      </c>
      <c r="AO130" s="1">
        <v>0</v>
      </c>
      <c r="AP130" s="1"/>
      <c r="AQ130" s="1"/>
      <c r="AR130" s="1"/>
      <c r="AS130" s="1"/>
      <c r="AT130" s="1"/>
      <c r="AU130" s="1"/>
      <c r="AV130" s="1"/>
      <c r="AW130" s="1"/>
      <c r="AX130" s="1"/>
    </row>
    <row r="131" spans="1:50" ht="31.5" customHeight="1" x14ac:dyDescent="0.15">
      <c r="E131" s="1" t="str">
        <f>FHD_NUM_P_38</f>
        <v>5.1</v>
      </c>
      <c r="F131" s="1" t="str">
        <f>FHD_P_38</f>
        <v>Изменение стоимости основных фондов за счет:</v>
      </c>
      <c r="G131" s="1" t="s">
        <v>1976</v>
      </c>
      <c r="H131" s="1"/>
      <c r="I131" s="1">
        <f>I132-I133</f>
        <v>550602128.74000001</v>
      </c>
      <c r="J131" s="1">
        <f>J132-J133</f>
        <v>141251206.20999998</v>
      </c>
      <c r="K131" s="1">
        <f>K132-K133</f>
        <v>238568735.19</v>
      </c>
      <c r="L131" s="1">
        <v>0</v>
      </c>
      <c r="M131" s="1">
        <v>0</v>
      </c>
      <c r="N131" s="1">
        <f t="shared" ref="N131:AK131" si="17">N132-N133</f>
        <v>0</v>
      </c>
      <c r="O131" s="1">
        <f t="shared" si="17"/>
        <v>0</v>
      </c>
      <c r="P131" s="1">
        <f t="shared" si="17"/>
        <v>0</v>
      </c>
      <c r="Q131" s="1">
        <f t="shared" si="17"/>
        <v>0</v>
      </c>
      <c r="R131" s="1">
        <f t="shared" si="17"/>
        <v>0</v>
      </c>
      <c r="S131" s="1">
        <f t="shared" si="17"/>
        <v>0</v>
      </c>
      <c r="T131" s="1">
        <f t="shared" si="17"/>
        <v>0</v>
      </c>
      <c r="U131" s="1">
        <f t="shared" si="17"/>
        <v>0</v>
      </c>
      <c r="V131" s="1">
        <f t="shared" si="17"/>
        <v>0</v>
      </c>
      <c r="W131" s="1">
        <f t="shared" si="17"/>
        <v>0</v>
      </c>
      <c r="X131" s="1">
        <f t="shared" si="17"/>
        <v>0</v>
      </c>
      <c r="Y131" s="1">
        <f t="shared" si="17"/>
        <v>0</v>
      </c>
      <c r="Z131" s="1">
        <f t="shared" si="17"/>
        <v>0</v>
      </c>
      <c r="AA131" s="1">
        <f t="shared" si="17"/>
        <v>0</v>
      </c>
      <c r="AB131" s="1">
        <f t="shared" si="17"/>
        <v>0</v>
      </c>
      <c r="AC131" s="1">
        <f t="shared" si="17"/>
        <v>0</v>
      </c>
      <c r="AD131" s="1">
        <f t="shared" si="17"/>
        <v>0</v>
      </c>
      <c r="AE131" s="1">
        <f t="shared" si="17"/>
        <v>0</v>
      </c>
      <c r="AF131" s="1">
        <f t="shared" si="17"/>
        <v>0</v>
      </c>
      <c r="AG131" s="1">
        <f t="shared" si="17"/>
        <v>0</v>
      </c>
      <c r="AH131" s="1">
        <f t="shared" si="17"/>
        <v>0</v>
      </c>
      <c r="AI131" s="1">
        <f t="shared" si="17"/>
        <v>0</v>
      </c>
      <c r="AJ131" s="1">
        <f t="shared" si="17"/>
        <v>0</v>
      </c>
      <c r="AK131" s="1">
        <f t="shared" si="17"/>
        <v>0</v>
      </c>
      <c r="AL131" s="1">
        <v>0</v>
      </c>
      <c r="AM131" s="1">
        <v>0</v>
      </c>
      <c r="AN131" s="1">
        <v>0</v>
      </c>
      <c r="AO131" s="1">
        <v>0</v>
      </c>
      <c r="AP131" s="1"/>
      <c r="AQ131" s="1"/>
      <c r="AR131" s="1"/>
      <c r="AS131" s="1"/>
      <c r="AT131" s="1"/>
      <c r="AU131" s="1"/>
      <c r="AV131" s="1"/>
      <c r="AW131" s="1"/>
      <c r="AX131" s="1"/>
    </row>
    <row r="132" spans="1:50" ht="18" customHeight="1" x14ac:dyDescent="0.15">
      <c r="E132" s="1" t="str">
        <f>FHD_NUM_P_39</f>
        <v>5.1.1</v>
      </c>
      <c r="F132" s="1" t="str">
        <f>FHD_P_39</f>
        <v>Изменения стоимости основных фондов за счет их ввода в эксплуатацию</v>
      </c>
      <c r="G132" s="1" t="s">
        <v>1976</v>
      </c>
      <c r="H132" s="1"/>
      <c r="I132" s="1">
        <v>705395821.64999998</v>
      </c>
      <c r="J132" s="1">
        <v>146531295.63999999</v>
      </c>
      <c r="K132" s="1">
        <v>238568735.19</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c r="AQ132" s="1"/>
      <c r="AR132" s="1"/>
      <c r="AS132" s="1"/>
      <c r="AT132" s="1"/>
      <c r="AU132" s="1"/>
      <c r="AV132" s="1"/>
      <c r="AW132" s="1"/>
      <c r="AX132" s="1"/>
    </row>
    <row r="133" spans="1:50" ht="23.25" customHeight="1" x14ac:dyDescent="0.15">
      <c r="E133" s="1" t="str">
        <f>FHD_NUM_P_40</f>
        <v>5.1.2</v>
      </c>
      <c r="F133" s="1" t="str">
        <f>FHD_P_40</f>
        <v>Изменения стоимости основных фондов за счет их вывода в эксплуатацию</v>
      </c>
      <c r="G133" s="1" t="s">
        <v>1976</v>
      </c>
      <c r="H133" s="1"/>
      <c r="I133" s="1">
        <v>154793692.91</v>
      </c>
      <c r="J133" s="1">
        <v>5280089.43</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c r="AQ133" s="1"/>
      <c r="AR133" s="1"/>
      <c r="AS133" s="1"/>
      <c r="AT133" s="1"/>
      <c r="AU133" s="1"/>
      <c r="AV133" s="1"/>
      <c r="AW133" s="1"/>
      <c r="AX133" s="1"/>
    </row>
    <row r="134" spans="1:50" ht="15" customHeight="1" x14ac:dyDescent="0.15">
      <c r="E134" s="1" t="str">
        <f>FHD_NUM_P_41</f>
        <v>5.2</v>
      </c>
      <c r="F134" s="1" t="str">
        <f>FHD_P_41</f>
        <v>Изменение стоимости основных фондов за счет их переоценки</v>
      </c>
      <c r="G134" s="1" t="s">
        <v>1976</v>
      </c>
      <c r="H134" s="1"/>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c r="AQ134" s="1"/>
      <c r="AR134" s="1"/>
      <c r="AS134" s="1"/>
      <c r="AT134" s="1"/>
      <c r="AU134" s="1"/>
      <c r="AV134" s="1"/>
      <c r="AW134" s="1"/>
      <c r="AX134" s="1"/>
    </row>
    <row r="135" spans="1:50" ht="15" hidden="1" customHeight="1" x14ac:dyDescent="0.15">
      <c r="A135" t="s">
        <v>2008</v>
      </c>
      <c r="E135" s="1" t="str">
        <f>FHD_NUM_P_42</f>
        <v/>
      </c>
      <c r="F135" s="1" t="str">
        <f>FHD_P_42</f>
        <v/>
      </c>
      <c r="G135" s="1" t="s">
        <v>1976</v>
      </c>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40.5" customHeight="1" x14ac:dyDescent="0.15">
      <c r="E136" s="1" t="str">
        <f>FHD_NUM_P_43</f>
        <v>6</v>
      </c>
      <c r="F136" s="1" t="str">
        <f>FHD_P_43</f>
        <v>Годовая бухгалтерская (финансовая) отчетность, включая бухгалтерский баланс и приложения к нему</v>
      </c>
      <c r="G136" s="1" t="s">
        <v>599</v>
      </c>
      <c r="H136" s="1"/>
      <c r="I136" s="1" t="s">
        <v>2009</v>
      </c>
      <c r="J136" s="1" t="s">
        <v>2009</v>
      </c>
      <c r="K136" s="1" t="s">
        <v>2009</v>
      </c>
      <c r="L136" s="1" t="s">
        <v>2009</v>
      </c>
      <c r="M136" s="1" t="s">
        <v>2009</v>
      </c>
      <c r="N136" s="1" t="s">
        <v>2009</v>
      </c>
      <c r="O136" s="1" t="s">
        <v>2009</v>
      </c>
      <c r="P136" s="1" t="s">
        <v>2009</v>
      </c>
      <c r="Q136" s="1" t="s">
        <v>2009</v>
      </c>
      <c r="R136" s="1" t="s">
        <v>2009</v>
      </c>
      <c r="S136" s="1" t="s">
        <v>2009</v>
      </c>
      <c r="T136" s="1" t="s">
        <v>2009</v>
      </c>
      <c r="U136" s="1" t="s">
        <v>2009</v>
      </c>
      <c r="V136" s="1" t="s">
        <v>2009</v>
      </c>
      <c r="W136" s="1" t="s">
        <v>2009</v>
      </c>
      <c r="X136" s="1" t="s">
        <v>2009</v>
      </c>
      <c r="Y136" s="1" t="s">
        <v>2009</v>
      </c>
      <c r="Z136" s="1" t="s">
        <v>2009</v>
      </c>
      <c r="AA136" s="1" t="s">
        <v>2009</v>
      </c>
      <c r="AB136" s="1" t="s">
        <v>2009</v>
      </c>
      <c r="AC136" s="1" t="s">
        <v>2009</v>
      </c>
      <c r="AD136" s="1" t="s">
        <v>2009</v>
      </c>
      <c r="AE136" s="1" t="s">
        <v>2009</v>
      </c>
      <c r="AF136" s="1" t="s">
        <v>2009</v>
      </c>
      <c r="AG136" s="1" t="s">
        <v>2009</v>
      </c>
      <c r="AH136" s="1" t="s">
        <v>2009</v>
      </c>
      <c r="AI136" s="1" t="s">
        <v>2009</v>
      </c>
      <c r="AJ136" s="1" t="s">
        <v>2009</v>
      </c>
      <c r="AK136" s="1" t="s">
        <v>2009</v>
      </c>
      <c r="AL136" s="1" t="s">
        <v>2009</v>
      </c>
      <c r="AM136" s="1" t="s">
        <v>2009</v>
      </c>
      <c r="AN136" s="1" t="s">
        <v>2009</v>
      </c>
      <c r="AO136" s="1" t="s">
        <v>2009</v>
      </c>
      <c r="AP136" s="1"/>
      <c r="AQ136" s="1"/>
      <c r="AR136" s="1"/>
      <c r="AS136" s="1"/>
      <c r="AT136" s="1"/>
      <c r="AU136" s="1"/>
      <c r="AV136" s="1"/>
      <c r="AW136" s="1"/>
      <c r="AX136" s="1"/>
    </row>
    <row r="137" spans="1:50" ht="15" hidden="1" customHeight="1" x14ac:dyDescent="0.15">
      <c r="A137" s="6" t="s">
        <v>2010</v>
      </c>
      <c r="E137" t="str">
        <f>FHD_NUM_P_44</f>
        <v/>
      </c>
      <c r="F137" t="str">
        <f>FHD_P_44</f>
        <v/>
      </c>
      <c r="G137" t="s">
        <v>2011</v>
      </c>
    </row>
    <row r="138" spans="1:50" ht="15" hidden="1" customHeight="1" x14ac:dyDescent="0.15">
      <c r="A138" s="6"/>
      <c r="E138" t="str">
        <f>FHD_NUM_P_45</f>
        <v/>
      </c>
      <c r="F138" t="str">
        <f>FHD_P_45</f>
        <v/>
      </c>
      <c r="G138" t="s">
        <v>2011</v>
      </c>
    </row>
    <row r="139" spans="1:50" ht="15" hidden="1" customHeight="1" x14ac:dyDescent="0.15">
      <c r="A139" s="6"/>
      <c r="E139" t="str">
        <f>FHD_NUM_P_46</f>
        <v/>
      </c>
      <c r="F139" t="str">
        <f>FHD_P_46</f>
        <v/>
      </c>
      <c r="G139" t="s">
        <v>2011</v>
      </c>
    </row>
    <row r="140" spans="1:50" ht="15" hidden="1" customHeight="1" x14ac:dyDescent="0.15">
      <c r="A140" s="6"/>
      <c r="E140" t="str">
        <f>FHD_NUM_P_47</f>
        <v/>
      </c>
      <c r="F140" t="str">
        <f>FHD_P_47</f>
        <v/>
      </c>
      <c r="G140" t="s">
        <v>2011</v>
      </c>
    </row>
    <row r="141" spans="1:50" ht="15" hidden="1" customHeight="1" x14ac:dyDescent="0.15">
      <c r="A141" s="6"/>
      <c r="E141" t="str">
        <f>FHD_NUM_P_48</f>
        <v/>
      </c>
      <c r="F141" t="str">
        <f>FHD_P_48</f>
        <v/>
      </c>
      <c r="G141" t="s">
        <v>2011</v>
      </c>
    </row>
    <row r="142" spans="1:50" ht="15" hidden="1" customHeight="1" x14ac:dyDescent="0.15">
      <c r="A142" s="6"/>
      <c r="E142" t="str">
        <f>FHD_NUM_P_49</f>
        <v/>
      </c>
      <c r="F142" t="str">
        <f>FHD_P_49</f>
        <v/>
      </c>
      <c r="G142" t="s">
        <v>2011</v>
      </c>
      <c r="H142">
        <f t="shared" ref="H142:AP142" si="18">SUM(H143:H144)</f>
        <v>0</v>
      </c>
      <c r="I142">
        <f t="shared" si="18"/>
        <v>0</v>
      </c>
      <c r="J142">
        <f t="shared" si="18"/>
        <v>0</v>
      </c>
      <c r="K142">
        <f t="shared" si="18"/>
        <v>0</v>
      </c>
      <c r="L142">
        <f t="shared" si="18"/>
        <v>0</v>
      </c>
      <c r="M142">
        <f t="shared" si="18"/>
        <v>0</v>
      </c>
      <c r="N142">
        <f t="shared" si="18"/>
        <v>0</v>
      </c>
      <c r="O142">
        <f t="shared" si="18"/>
        <v>0</v>
      </c>
      <c r="P142">
        <f t="shared" si="18"/>
        <v>0</v>
      </c>
      <c r="Q142">
        <f t="shared" si="18"/>
        <v>0</v>
      </c>
      <c r="R142">
        <f t="shared" si="18"/>
        <v>0</v>
      </c>
      <c r="S142">
        <f t="shared" si="18"/>
        <v>0</v>
      </c>
      <c r="T142">
        <f t="shared" si="18"/>
        <v>0</v>
      </c>
      <c r="U142">
        <f t="shared" si="18"/>
        <v>0</v>
      </c>
      <c r="V142">
        <f t="shared" si="18"/>
        <v>0</v>
      </c>
      <c r="W142">
        <f t="shared" si="18"/>
        <v>0</v>
      </c>
      <c r="X142">
        <f t="shared" si="18"/>
        <v>0</v>
      </c>
      <c r="Y142">
        <f t="shared" si="18"/>
        <v>0</v>
      </c>
      <c r="Z142">
        <f t="shared" si="18"/>
        <v>0</v>
      </c>
      <c r="AA142">
        <f t="shared" si="18"/>
        <v>0</v>
      </c>
      <c r="AB142">
        <f t="shared" si="18"/>
        <v>0</v>
      </c>
      <c r="AC142">
        <f t="shared" si="18"/>
        <v>0</v>
      </c>
      <c r="AD142">
        <f t="shared" si="18"/>
        <v>0</v>
      </c>
      <c r="AE142">
        <f t="shared" si="18"/>
        <v>0</v>
      </c>
      <c r="AF142">
        <f t="shared" si="18"/>
        <v>0</v>
      </c>
      <c r="AG142">
        <f t="shared" si="18"/>
        <v>0</v>
      </c>
      <c r="AH142">
        <f t="shared" si="18"/>
        <v>0</v>
      </c>
      <c r="AI142">
        <f t="shared" si="18"/>
        <v>0</v>
      </c>
      <c r="AJ142">
        <f t="shared" si="18"/>
        <v>0</v>
      </c>
      <c r="AK142">
        <f t="shared" si="18"/>
        <v>0</v>
      </c>
      <c r="AL142">
        <f t="shared" si="18"/>
        <v>0</v>
      </c>
      <c r="AM142">
        <f t="shared" si="18"/>
        <v>0</v>
      </c>
      <c r="AN142">
        <f t="shared" si="18"/>
        <v>0</v>
      </c>
      <c r="AO142">
        <f t="shared" si="18"/>
        <v>0</v>
      </c>
      <c r="AP142">
        <f t="shared" si="18"/>
        <v>0</v>
      </c>
    </row>
    <row r="143" spans="1:50" ht="15" hidden="1" customHeight="1" x14ac:dyDescent="0.15">
      <c r="A143" s="6"/>
      <c r="E143" t="str">
        <f>FHD_NUM_P_50</f>
        <v/>
      </c>
      <c r="F143" t="str">
        <f>FHD_P_50</f>
        <v/>
      </c>
      <c r="G143" t="s">
        <v>2011</v>
      </c>
    </row>
    <row r="144" spans="1:50" ht="15" hidden="1" customHeight="1" x14ac:dyDescent="0.15">
      <c r="A144" s="6"/>
      <c r="E144" t="str">
        <f>FHD_NUM_P_51</f>
        <v/>
      </c>
      <c r="F144" t="str">
        <f>FHD_P_51</f>
        <v/>
      </c>
      <c r="G144" t="s">
        <v>2011</v>
      </c>
    </row>
    <row r="145" spans="1:41" ht="15" hidden="1" customHeight="1" x14ac:dyDescent="0.15">
      <c r="A145" s="6"/>
      <c r="E145" t="str">
        <f>FHD_NUM_P_52</f>
        <v/>
      </c>
      <c r="F145" t="str">
        <f>FHD_P_52</f>
        <v/>
      </c>
      <c r="G145" t="s">
        <v>1878</v>
      </c>
    </row>
    <row r="146" spans="1:41" ht="15" hidden="1" customHeight="1" x14ac:dyDescent="0.15">
      <c r="A146" s="6" t="s">
        <v>2012</v>
      </c>
      <c r="E146" t="str">
        <f>FHD_NUM_P_53</f>
        <v/>
      </c>
      <c r="F146" t="str">
        <f>FHD_P_53</f>
        <v/>
      </c>
      <c r="G146" t="s">
        <v>2011</v>
      </c>
    </row>
    <row r="147" spans="1:41" ht="15" hidden="1" customHeight="1" x14ac:dyDescent="0.15">
      <c r="A147" s="6"/>
      <c r="E147" t="str">
        <f>FHD_NUM_P_54</f>
        <v/>
      </c>
      <c r="F147" t="str">
        <f>FHD_P_54</f>
        <v/>
      </c>
      <c r="G147" t="s">
        <v>2011</v>
      </c>
    </row>
    <row r="148" spans="1:41" ht="15" hidden="1" customHeight="1" x14ac:dyDescent="0.15">
      <c r="A148" s="6"/>
      <c r="E148" t="str">
        <f>FHD_NUM_P_55</f>
        <v/>
      </c>
      <c r="F148" t="str">
        <f>FHD_P_55</f>
        <v/>
      </c>
    </row>
    <row r="149" spans="1:41" ht="15" hidden="1" customHeight="1" x14ac:dyDescent="0.15">
      <c r="A149" s="6"/>
      <c r="E149" t="str">
        <f>FHD_NUM_P_56</f>
        <v/>
      </c>
      <c r="F149" t="str">
        <f>FHD_P_56</f>
        <v/>
      </c>
      <c r="G149" t="s">
        <v>1304</v>
      </c>
    </row>
    <row r="150" spans="1:41" ht="15" hidden="1" customHeight="1" x14ac:dyDescent="0.15">
      <c r="A150" s="6"/>
      <c r="E150" t="str">
        <f>FHD_NUM_P_57</f>
        <v/>
      </c>
      <c r="F150" t="str">
        <f>FHD_P_57</f>
        <v/>
      </c>
      <c r="G150" t="s">
        <v>1878</v>
      </c>
    </row>
    <row r="151" spans="1:41" ht="15" hidden="1" customHeight="1" x14ac:dyDescent="0.15">
      <c r="A151" s="6" t="s">
        <v>2013</v>
      </c>
      <c r="E151" t="str">
        <f>FHD_NUM_P_58</f>
        <v/>
      </c>
      <c r="F151" t="str">
        <f>FHD_P_58</f>
        <v/>
      </c>
      <c r="G151" t="s">
        <v>2011</v>
      </c>
    </row>
    <row r="152" spans="1:41" ht="15" hidden="1" customHeight="1" x14ac:dyDescent="0.15">
      <c r="A152" s="6"/>
      <c r="E152" t="str">
        <f>FHD_NUM_P_59</f>
        <v/>
      </c>
      <c r="F152" t="str">
        <f>FHD_P_59</f>
        <v/>
      </c>
      <c r="G152" t="s">
        <v>2011</v>
      </c>
    </row>
    <row r="153" spans="1:41" ht="15" hidden="1" customHeight="1" x14ac:dyDescent="0.15">
      <c r="A153" s="6"/>
      <c r="E153" t="str">
        <f>FHD_NUM_P_60</f>
        <v/>
      </c>
      <c r="F153" t="str">
        <f>FHD_P_60</f>
        <v/>
      </c>
      <c r="G153" t="s">
        <v>2011</v>
      </c>
    </row>
    <row r="154" spans="1:41" ht="39" customHeight="1" x14ac:dyDescent="0.15">
      <c r="A154" s="6" t="s">
        <v>2014</v>
      </c>
      <c r="E154" t="str">
        <f>FHD_NUM_P_61</f>
        <v>7</v>
      </c>
      <c r="F15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54" t="s">
        <v>1088</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row>
    <row r="155" spans="1:41" ht="15" customHeight="1" x14ac:dyDescent="0.15">
      <c r="A155" s="6"/>
      <c r="E155" t="str">
        <f>E154&amp;".0"</f>
        <v>7.0</v>
      </c>
    </row>
    <row r="156" spans="1:41" ht="15" customHeight="1" x14ac:dyDescent="0.15">
      <c r="A156" s="6"/>
      <c r="D156" t="s">
        <v>90</v>
      </c>
      <c r="E156" t="str">
        <f>E154&amp;".1"</f>
        <v>7.1</v>
      </c>
      <c r="F156" t="s">
        <v>2015</v>
      </c>
      <c r="G156" t="s">
        <v>1088</v>
      </c>
      <c r="I156">
        <v>190.61</v>
      </c>
    </row>
    <row r="157" spans="1:41" ht="15" customHeight="1" x14ac:dyDescent="0.15">
      <c r="A157" s="6"/>
      <c r="D157" t="s">
        <v>90</v>
      </c>
      <c r="E157" t="str">
        <f>E154&amp;".2"</f>
        <v>7.2</v>
      </c>
      <c r="F157" t="s">
        <v>2016</v>
      </c>
      <c r="G157" t="s">
        <v>1088</v>
      </c>
      <c r="I157">
        <v>35.200000000000003</v>
      </c>
    </row>
    <row r="158" spans="1:41" ht="15" customHeight="1" x14ac:dyDescent="0.15">
      <c r="A158" s="6"/>
      <c r="D158" t="s">
        <v>90</v>
      </c>
      <c r="E158" t="str">
        <f>E154&amp;".3"</f>
        <v>7.3</v>
      </c>
      <c r="F158" t="s">
        <v>2017</v>
      </c>
      <c r="G158" t="s">
        <v>1088</v>
      </c>
      <c r="I158">
        <v>11.7</v>
      </c>
    </row>
    <row r="159" spans="1:41" ht="15" customHeight="1" x14ac:dyDescent="0.15">
      <c r="A159" s="6"/>
      <c r="D159" t="s">
        <v>90</v>
      </c>
      <c r="E159" t="str">
        <f>E154&amp;".4"</f>
        <v>7.4</v>
      </c>
      <c r="F159" t="s">
        <v>2018</v>
      </c>
      <c r="G159" t="s">
        <v>1088</v>
      </c>
      <c r="I159">
        <v>0.75800000000000001</v>
      </c>
    </row>
    <row r="160" spans="1:41" ht="15" customHeight="1" x14ac:dyDescent="0.15">
      <c r="A160" s="6"/>
      <c r="D160" t="s">
        <v>90</v>
      </c>
      <c r="E160" t="str">
        <f>E154&amp;".5"</f>
        <v>7.5</v>
      </c>
      <c r="F160" t="s">
        <v>2019</v>
      </c>
      <c r="G160" t="s">
        <v>1088</v>
      </c>
      <c r="I160">
        <v>1.04</v>
      </c>
    </row>
    <row r="161" spans="1:9" ht="15" customHeight="1" x14ac:dyDescent="0.15">
      <c r="A161" s="6"/>
      <c r="D161" t="s">
        <v>90</v>
      </c>
      <c r="E161" t="str">
        <f>E154&amp;".6"</f>
        <v>7.6</v>
      </c>
      <c r="F161" t="s">
        <v>2020</v>
      </c>
      <c r="G161" t="s">
        <v>1088</v>
      </c>
      <c r="I161">
        <v>0.42</v>
      </c>
    </row>
    <row r="162" spans="1:9" ht="15" customHeight="1" x14ac:dyDescent="0.15">
      <c r="A162" s="6"/>
      <c r="D162" t="s">
        <v>90</v>
      </c>
      <c r="E162" t="str">
        <f>E154&amp;".7"</f>
        <v>7.7</v>
      </c>
      <c r="F162" t="s">
        <v>2021</v>
      </c>
      <c r="G162" t="s">
        <v>1088</v>
      </c>
      <c r="I162">
        <v>0.44</v>
      </c>
    </row>
    <row r="163" spans="1:9" ht="15" customHeight="1" x14ac:dyDescent="0.15">
      <c r="A163" s="6"/>
      <c r="D163" t="s">
        <v>90</v>
      </c>
      <c r="E163" t="str">
        <f>E154&amp;".8"</f>
        <v>7.8</v>
      </c>
      <c r="F163" t="s">
        <v>2022</v>
      </c>
      <c r="G163" t="s">
        <v>1088</v>
      </c>
      <c r="I163">
        <v>4.8499999999999996</v>
      </c>
    </row>
    <row r="164" spans="1:9" ht="15" customHeight="1" x14ac:dyDescent="0.15">
      <c r="A164" s="6"/>
      <c r="D164" t="s">
        <v>90</v>
      </c>
      <c r="E164" t="str">
        <f>E154&amp;".9"</f>
        <v>7.9</v>
      </c>
      <c r="F164" t="s">
        <v>2023</v>
      </c>
      <c r="G164" t="s">
        <v>1088</v>
      </c>
      <c r="I164">
        <v>60.24</v>
      </c>
    </row>
    <row r="165" spans="1:9" ht="15" customHeight="1" x14ac:dyDescent="0.15">
      <c r="A165" s="6"/>
      <c r="D165" t="s">
        <v>90</v>
      </c>
      <c r="E165" t="str">
        <f>E154&amp;".10"</f>
        <v>7.10</v>
      </c>
      <c r="F165" t="s">
        <v>2024</v>
      </c>
      <c r="G165" t="s">
        <v>1088</v>
      </c>
      <c r="I165">
        <v>0.44</v>
      </c>
    </row>
    <row r="166" spans="1:9" ht="15" customHeight="1" x14ac:dyDescent="0.15">
      <c r="A166" s="6"/>
      <c r="D166" t="s">
        <v>90</v>
      </c>
      <c r="E166" t="str">
        <f>E154&amp;".11"</f>
        <v>7.11</v>
      </c>
      <c r="F166" t="s">
        <v>2025</v>
      </c>
      <c r="G166" t="s">
        <v>1088</v>
      </c>
      <c r="I166">
        <v>105.75</v>
      </c>
    </row>
    <row r="167" spans="1:9" ht="15" customHeight="1" x14ac:dyDescent="0.15">
      <c r="A167" s="6"/>
      <c r="D167" t="s">
        <v>90</v>
      </c>
      <c r="E167" t="str">
        <f>E154&amp;".12"</f>
        <v>7.12</v>
      </c>
      <c r="F167" t="s">
        <v>2026</v>
      </c>
      <c r="G167" t="s">
        <v>1088</v>
      </c>
      <c r="I167">
        <v>2.16</v>
      </c>
    </row>
    <row r="168" spans="1:9" ht="15" customHeight="1" x14ac:dyDescent="0.15">
      <c r="A168" s="6"/>
      <c r="D168" t="s">
        <v>90</v>
      </c>
      <c r="E168" t="str">
        <f>E154&amp;".13"</f>
        <v>7.13</v>
      </c>
      <c r="F168" t="s">
        <v>2027</v>
      </c>
      <c r="G168" t="s">
        <v>1088</v>
      </c>
      <c r="I168">
        <v>5.2</v>
      </c>
    </row>
    <row r="169" spans="1:9" ht="15" customHeight="1" x14ac:dyDescent="0.15">
      <c r="A169" s="6"/>
      <c r="D169" t="s">
        <v>90</v>
      </c>
      <c r="E169" t="str">
        <f>E154&amp;".14"</f>
        <v>7.14</v>
      </c>
      <c r="F169" t="s">
        <v>2028</v>
      </c>
      <c r="G169" t="s">
        <v>1088</v>
      </c>
      <c r="I169">
        <v>3.24</v>
      </c>
    </row>
    <row r="170" spans="1:9" ht="15" customHeight="1" x14ac:dyDescent="0.15">
      <c r="A170" s="6"/>
      <c r="D170" t="s">
        <v>90</v>
      </c>
      <c r="E170" t="str">
        <f>E154&amp;".15"</f>
        <v>7.15</v>
      </c>
      <c r="F170" t="s">
        <v>2029</v>
      </c>
      <c r="G170" t="s">
        <v>1088</v>
      </c>
      <c r="I170">
        <v>24.074999999999999</v>
      </c>
    </row>
    <row r="171" spans="1:9" ht="25.5" customHeight="1" x14ac:dyDescent="0.15">
      <c r="A171" s="6"/>
      <c r="D171" t="s">
        <v>90</v>
      </c>
      <c r="E171" t="str">
        <f>E154&amp;".16"</f>
        <v>7.16</v>
      </c>
      <c r="F171" t="s">
        <v>2030</v>
      </c>
      <c r="G171" t="s">
        <v>1088</v>
      </c>
      <c r="I171">
        <v>0.51600000000000001</v>
      </c>
    </row>
    <row r="172" spans="1:9" ht="15" customHeight="1" x14ac:dyDescent="0.15">
      <c r="A172" s="6"/>
      <c r="D172" t="s">
        <v>90</v>
      </c>
      <c r="E172" t="str">
        <f>E154&amp;".17"</f>
        <v>7.17</v>
      </c>
      <c r="F172" t="s">
        <v>2031</v>
      </c>
      <c r="G172" t="s">
        <v>1088</v>
      </c>
      <c r="I172">
        <v>0.44</v>
      </c>
    </row>
    <row r="173" spans="1:9" ht="15" customHeight="1" x14ac:dyDescent="0.15">
      <c r="A173" s="6"/>
      <c r="D173" t="s">
        <v>90</v>
      </c>
      <c r="E173" t="str">
        <f>E154&amp;".18"</f>
        <v>7.18</v>
      </c>
      <c r="F173" t="s">
        <v>2032</v>
      </c>
      <c r="G173" t="s">
        <v>1088</v>
      </c>
      <c r="I173">
        <v>0.28000000000000003</v>
      </c>
    </row>
    <row r="174" spans="1:9" ht="21" customHeight="1" x14ac:dyDescent="0.15">
      <c r="A174" s="6"/>
      <c r="D174" t="s">
        <v>90</v>
      </c>
      <c r="E174" t="str">
        <f>E154&amp;".19"</f>
        <v>7.19</v>
      </c>
      <c r="F174" t="s">
        <v>2033</v>
      </c>
      <c r="G174" t="s">
        <v>1088</v>
      </c>
      <c r="I174">
        <v>2.58</v>
      </c>
    </row>
    <row r="175" spans="1:9" ht="15" customHeight="1" x14ac:dyDescent="0.15">
      <c r="A175" s="6"/>
      <c r="D175" t="s">
        <v>90</v>
      </c>
      <c r="E175" t="str">
        <f>E154&amp;".20"</f>
        <v>7.20</v>
      </c>
      <c r="F175" t="s">
        <v>2034</v>
      </c>
      <c r="G175" t="s">
        <v>1088</v>
      </c>
      <c r="I175">
        <v>0.51600000000000001</v>
      </c>
    </row>
    <row r="176" spans="1:9" ht="24.75" customHeight="1" x14ac:dyDescent="0.15">
      <c r="A176" s="6"/>
      <c r="D176" t="s">
        <v>90</v>
      </c>
      <c r="E176" t="str">
        <f>E154&amp;".21"</f>
        <v>7.21</v>
      </c>
      <c r="F176" t="s">
        <v>2035</v>
      </c>
      <c r="G176" t="s">
        <v>1088</v>
      </c>
      <c r="I176">
        <v>1.92</v>
      </c>
    </row>
    <row r="177" spans="1:9" ht="15" customHeight="1" x14ac:dyDescent="0.15">
      <c r="A177" s="6"/>
      <c r="D177" t="s">
        <v>90</v>
      </c>
      <c r="E177" t="str">
        <f>E154&amp;".22"</f>
        <v>7.22</v>
      </c>
      <c r="F177" t="s">
        <v>2036</v>
      </c>
      <c r="G177" t="s">
        <v>1088</v>
      </c>
      <c r="I177">
        <v>0.31</v>
      </c>
    </row>
    <row r="178" spans="1:9" ht="15" customHeight="1" x14ac:dyDescent="0.15">
      <c r="A178" s="6"/>
      <c r="D178" t="s">
        <v>90</v>
      </c>
      <c r="E178" t="str">
        <f>E154&amp;".23"</f>
        <v>7.23</v>
      </c>
      <c r="F178" t="s">
        <v>2037</v>
      </c>
      <c r="G178" t="s">
        <v>1088</v>
      </c>
      <c r="I178">
        <v>2.41</v>
      </c>
    </row>
    <row r="179" spans="1:9" ht="15" customHeight="1" x14ac:dyDescent="0.15">
      <c r="A179" s="6"/>
      <c r="D179" t="s">
        <v>90</v>
      </c>
      <c r="E179" t="str">
        <f>E154&amp;".24"</f>
        <v>7.24</v>
      </c>
      <c r="F179" t="s">
        <v>2038</v>
      </c>
      <c r="G179" t="s">
        <v>1088</v>
      </c>
      <c r="I179">
        <v>6.02</v>
      </c>
    </row>
    <row r="180" spans="1:9" ht="15" customHeight="1" x14ac:dyDescent="0.15">
      <c r="A180" s="6"/>
      <c r="D180" t="s">
        <v>90</v>
      </c>
      <c r="E180" t="str">
        <f>E154&amp;".25"</f>
        <v>7.25</v>
      </c>
      <c r="F180" t="s">
        <v>2039</v>
      </c>
      <c r="G180" t="s">
        <v>1088</v>
      </c>
      <c r="I180">
        <v>2.72</v>
      </c>
    </row>
    <row r="181" spans="1:9" ht="15" customHeight="1" x14ac:dyDescent="0.15">
      <c r="A181" s="6"/>
      <c r="D181" t="s">
        <v>90</v>
      </c>
      <c r="E181" t="str">
        <f>E154&amp;".26"</f>
        <v>7.26</v>
      </c>
      <c r="F181" t="s">
        <v>2040</v>
      </c>
      <c r="G181" t="s">
        <v>1088</v>
      </c>
      <c r="I181">
        <v>3.5</v>
      </c>
    </row>
    <row r="182" spans="1:9" ht="15" customHeight="1" x14ac:dyDescent="0.15">
      <c r="A182" s="6"/>
      <c r="D182" t="s">
        <v>90</v>
      </c>
      <c r="E182" t="str">
        <f>E154&amp;".27"</f>
        <v>7.27</v>
      </c>
      <c r="F182" t="s">
        <v>2041</v>
      </c>
      <c r="G182" t="s">
        <v>1088</v>
      </c>
      <c r="I182">
        <v>2.3220000000000001</v>
      </c>
    </row>
    <row r="183" spans="1:9" ht="15" customHeight="1" x14ac:dyDescent="0.15">
      <c r="A183" s="6"/>
      <c r="D183" t="s">
        <v>90</v>
      </c>
      <c r="E183" t="str">
        <f>E154&amp;".28"</f>
        <v>7.28</v>
      </c>
      <c r="F183" t="s">
        <v>2042</v>
      </c>
      <c r="G183" t="s">
        <v>1088</v>
      </c>
      <c r="I183">
        <v>1.38</v>
      </c>
    </row>
    <row r="184" spans="1:9" ht="15" customHeight="1" x14ac:dyDescent="0.15">
      <c r="A184" s="6"/>
      <c r="D184" t="s">
        <v>90</v>
      </c>
      <c r="E184" t="str">
        <f>E154&amp;".29"</f>
        <v>7.29</v>
      </c>
      <c r="F184" t="s">
        <v>2043</v>
      </c>
      <c r="G184" t="s">
        <v>1088</v>
      </c>
      <c r="I184">
        <v>0.51600000000000001</v>
      </c>
    </row>
    <row r="185" spans="1:9" ht="15" customHeight="1" x14ac:dyDescent="0.15">
      <c r="A185" s="6"/>
      <c r="D185" t="s">
        <v>90</v>
      </c>
      <c r="E185" t="str">
        <f>E154&amp;".30"</f>
        <v>7.30</v>
      </c>
      <c r="F185" t="s">
        <v>2044</v>
      </c>
      <c r="G185" t="s">
        <v>1088</v>
      </c>
      <c r="I185">
        <v>8.4700000000000006</v>
      </c>
    </row>
    <row r="186" spans="1:9" ht="15" customHeight="1" x14ac:dyDescent="0.15">
      <c r="A186" s="6"/>
      <c r="D186" t="s">
        <v>90</v>
      </c>
      <c r="E186" t="str">
        <f>E154&amp;".31"</f>
        <v>7.31</v>
      </c>
      <c r="F186" t="s">
        <v>2045</v>
      </c>
      <c r="G186" t="s">
        <v>1088</v>
      </c>
      <c r="I186">
        <v>11.03</v>
      </c>
    </row>
    <row r="187" spans="1:9" ht="15" customHeight="1" x14ac:dyDescent="0.15">
      <c r="A187" s="6"/>
      <c r="D187" t="s">
        <v>90</v>
      </c>
      <c r="E187" t="str">
        <f>E154&amp;".32"</f>
        <v>7.32</v>
      </c>
      <c r="F187" t="s">
        <v>2046</v>
      </c>
      <c r="G187" t="s">
        <v>1088</v>
      </c>
      <c r="I187">
        <v>6.8000000000000005E-2</v>
      </c>
    </row>
    <row r="188" spans="1:9" ht="15" customHeight="1" x14ac:dyDescent="0.15">
      <c r="A188" s="6"/>
      <c r="D188" t="s">
        <v>90</v>
      </c>
      <c r="E188" t="str">
        <f>E154&amp;".33"</f>
        <v>7.33</v>
      </c>
      <c r="F188" t="s">
        <v>2047</v>
      </c>
      <c r="G188" t="s">
        <v>1088</v>
      </c>
      <c r="I188">
        <v>0.31</v>
      </c>
    </row>
    <row r="189" spans="1:9" ht="15" customHeight="1" x14ac:dyDescent="0.15">
      <c r="A189" s="6"/>
      <c r="D189" t="s">
        <v>90</v>
      </c>
      <c r="E189" t="str">
        <f>E154&amp;".34"</f>
        <v>7.34</v>
      </c>
      <c r="F189" t="s">
        <v>2048</v>
      </c>
      <c r="G189" t="s">
        <v>1088</v>
      </c>
      <c r="I189">
        <v>0.24</v>
      </c>
    </row>
    <row r="190" spans="1:9" ht="15" customHeight="1" x14ac:dyDescent="0.15">
      <c r="A190" s="6"/>
      <c r="D190" t="s">
        <v>90</v>
      </c>
      <c r="E190" t="str">
        <f>E154&amp;".35"</f>
        <v>7.35</v>
      </c>
      <c r="F190" t="s">
        <v>2049</v>
      </c>
      <c r="G190" t="s">
        <v>1088</v>
      </c>
      <c r="I190">
        <v>1.032</v>
      </c>
    </row>
    <row r="191" spans="1:9" ht="15" customHeight="1" x14ac:dyDescent="0.15">
      <c r="A191" s="6"/>
      <c r="D191" t="s">
        <v>90</v>
      </c>
      <c r="E191" t="str">
        <f>E154&amp;".36"</f>
        <v>7.36</v>
      </c>
      <c r="F191" t="s">
        <v>2050</v>
      </c>
      <c r="G191" t="s">
        <v>1088</v>
      </c>
      <c r="I191">
        <v>6.37</v>
      </c>
    </row>
    <row r="192" spans="1:9" ht="15" customHeight="1" x14ac:dyDescent="0.15">
      <c r="A192" s="6"/>
      <c r="D192" t="s">
        <v>90</v>
      </c>
      <c r="E192" t="str">
        <f>E154&amp;".37"</f>
        <v>7.37</v>
      </c>
      <c r="F192" t="s">
        <v>2051</v>
      </c>
      <c r="G192" t="s">
        <v>1088</v>
      </c>
      <c r="I192">
        <v>0.25700000000000001</v>
      </c>
    </row>
    <row r="193" spans="1:9" ht="15" customHeight="1" x14ac:dyDescent="0.15">
      <c r="A193" s="6"/>
      <c r="D193" t="s">
        <v>90</v>
      </c>
      <c r="E193" t="str">
        <f>E154&amp;".38"</f>
        <v>7.38</v>
      </c>
      <c r="F193" t="s">
        <v>2052</v>
      </c>
      <c r="G193" t="s">
        <v>1088</v>
      </c>
      <c r="I193">
        <v>19</v>
      </c>
    </row>
    <row r="194" spans="1:9" ht="15" customHeight="1" x14ac:dyDescent="0.15">
      <c r="A194" s="6"/>
      <c r="D194" t="s">
        <v>90</v>
      </c>
      <c r="E194" t="str">
        <f>E154&amp;".39"</f>
        <v>7.39</v>
      </c>
      <c r="F194" t="s">
        <v>2053</v>
      </c>
      <c r="G194" t="s">
        <v>1088</v>
      </c>
      <c r="I194">
        <v>1.234</v>
      </c>
    </row>
    <row r="195" spans="1:9" ht="15" customHeight="1" x14ac:dyDescent="0.15">
      <c r="A195" s="6"/>
      <c r="D195" t="s">
        <v>90</v>
      </c>
      <c r="E195" t="str">
        <f>E154&amp;".40"</f>
        <v>7.40</v>
      </c>
      <c r="F195" t="s">
        <v>2054</v>
      </c>
      <c r="G195" t="s">
        <v>1088</v>
      </c>
      <c r="I195">
        <v>3.44</v>
      </c>
    </row>
    <row r="196" spans="1:9" ht="15" customHeight="1" x14ac:dyDescent="0.15">
      <c r="A196" s="6"/>
      <c r="D196" t="s">
        <v>90</v>
      </c>
      <c r="E196" t="str">
        <f>E154&amp;".41"</f>
        <v>7.41</v>
      </c>
      <c r="F196" t="s">
        <v>2055</v>
      </c>
      <c r="G196" t="s">
        <v>1088</v>
      </c>
      <c r="I196">
        <v>3.44</v>
      </c>
    </row>
    <row r="197" spans="1:9" ht="15" customHeight="1" x14ac:dyDescent="0.15">
      <c r="A197" s="6"/>
      <c r="D197" t="s">
        <v>90</v>
      </c>
      <c r="E197" t="str">
        <f>E154&amp;".42"</f>
        <v>7.42</v>
      </c>
      <c r="F197" t="s">
        <v>2056</v>
      </c>
      <c r="G197" t="s">
        <v>1088</v>
      </c>
      <c r="I197">
        <v>0.51600000000000001</v>
      </c>
    </row>
    <row r="198" spans="1:9" ht="15" customHeight="1" x14ac:dyDescent="0.15">
      <c r="A198" s="6"/>
      <c r="D198" t="s">
        <v>90</v>
      </c>
      <c r="E198" t="str">
        <f>E154&amp;".43"</f>
        <v>7.43</v>
      </c>
      <c r="F198" t="s">
        <v>2057</v>
      </c>
      <c r="G198" t="s">
        <v>1088</v>
      </c>
      <c r="I198">
        <v>0.68799999999999994</v>
      </c>
    </row>
    <row r="199" spans="1:9" ht="15" customHeight="1" x14ac:dyDescent="0.15">
      <c r="A199" s="6"/>
      <c r="D199" t="s">
        <v>90</v>
      </c>
      <c r="E199" t="str">
        <f>E154&amp;".44"</f>
        <v>7.44</v>
      </c>
      <c r="F199" t="s">
        <v>2058</v>
      </c>
      <c r="G199" t="s">
        <v>1088</v>
      </c>
      <c r="I199">
        <v>0.68799999999999994</v>
      </c>
    </row>
    <row r="200" spans="1:9" ht="15" customHeight="1" x14ac:dyDescent="0.15">
      <c r="A200" s="6"/>
      <c r="D200" t="s">
        <v>90</v>
      </c>
      <c r="E200" t="str">
        <f>E154&amp;".45"</f>
        <v>7.45</v>
      </c>
      <c r="F200" t="s">
        <v>2059</v>
      </c>
      <c r="G200" t="s">
        <v>1088</v>
      </c>
      <c r="I200">
        <v>2.1120000000000001</v>
      </c>
    </row>
    <row r="201" spans="1:9" ht="15" customHeight="1" x14ac:dyDescent="0.15">
      <c r="A201" s="6"/>
      <c r="D201" t="s">
        <v>90</v>
      </c>
      <c r="E201" t="str">
        <f>E154&amp;".46"</f>
        <v>7.46</v>
      </c>
      <c r="F201" t="s">
        <v>2060</v>
      </c>
      <c r="G201" t="s">
        <v>1088</v>
      </c>
      <c r="I201">
        <v>3.9660000000000002</v>
      </c>
    </row>
    <row r="202" spans="1:9" ht="15" customHeight="1" x14ac:dyDescent="0.15">
      <c r="A202" s="6"/>
      <c r="D202" t="s">
        <v>90</v>
      </c>
      <c r="E202" t="str">
        <f>E154&amp;".47"</f>
        <v>7.47</v>
      </c>
      <c r="F202" t="s">
        <v>2061</v>
      </c>
      <c r="G202" t="s">
        <v>1088</v>
      </c>
      <c r="I202">
        <v>0.51600000000000001</v>
      </c>
    </row>
    <row r="203" spans="1:9" ht="15" customHeight="1" x14ac:dyDescent="0.15">
      <c r="A203" s="6"/>
      <c r="D203" t="s">
        <v>90</v>
      </c>
      <c r="E203" t="str">
        <f>E154&amp;".48"</f>
        <v>7.48</v>
      </c>
      <c r="F203" t="s">
        <v>2062</v>
      </c>
      <c r="G203" t="s">
        <v>1088</v>
      </c>
      <c r="I203">
        <v>3.2250000000000001</v>
      </c>
    </row>
    <row r="204" spans="1:9" ht="15" customHeight="1" x14ac:dyDescent="0.15">
      <c r="A204" s="6"/>
      <c r="D204" t="s">
        <v>90</v>
      </c>
      <c r="E204" t="str">
        <f>E154&amp;".49"</f>
        <v>7.49</v>
      </c>
      <c r="F204" t="s">
        <v>2063</v>
      </c>
      <c r="G204" t="s">
        <v>1088</v>
      </c>
      <c r="I204">
        <v>4.42</v>
      </c>
    </row>
    <row r="205" spans="1:9" ht="15" customHeight="1" x14ac:dyDescent="0.15">
      <c r="A205" s="6"/>
      <c r="D205" t="s">
        <v>90</v>
      </c>
      <c r="E205" t="str">
        <f>E154&amp;".50"</f>
        <v>7.50</v>
      </c>
      <c r="F205" t="s">
        <v>2064</v>
      </c>
      <c r="G205" t="s">
        <v>1088</v>
      </c>
      <c r="I205">
        <v>0.68799999999999994</v>
      </c>
    </row>
    <row r="206" spans="1:9" ht="15" customHeight="1" x14ac:dyDescent="0.15">
      <c r="A206" s="6"/>
      <c r="D206" t="s">
        <v>90</v>
      </c>
      <c r="E206" t="str">
        <f>E154&amp;".51"</f>
        <v>7.51</v>
      </c>
      <c r="F206" t="s">
        <v>2065</v>
      </c>
      <c r="G206" t="s">
        <v>1088</v>
      </c>
      <c r="I206">
        <v>1.032</v>
      </c>
    </row>
    <row r="207" spans="1:9" ht="15" customHeight="1" x14ac:dyDescent="0.15">
      <c r="A207" s="6"/>
      <c r="D207" t="s">
        <v>90</v>
      </c>
      <c r="E207" t="str">
        <f>E154&amp;".52"</f>
        <v>7.52</v>
      </c>
      <c r="F207" t="s">
        <v>2066</v>
      </c>
      <c r="G207" t="s">
        <v>1088</v>
      </c>
      <c r="I207">
        <v>1.032</v>
      </c>
    </row>
    <row r="208" spans="1:9" ht="15" customHeight="1" x14ac:dyDescent="0.15">
      <c r="A208" s="6"/>
      <c r="D208" t="s">
        <v>90</v>
      </c>
      <c r="E208" t="str">
        <f>E154&amp;".53"</f>
        <v>7.53</v>
      </c>
      <c r="F208" t="s">
        <v>2067</v>
      </c>
      <c r="G208" t="s">
        <v>1088</v>
      </c>
      <c r="I208">
        <v>9.2070000000000007</v>
      </c>
    </row>
    <row r="209" spans="1:9" ht="15" customHeight="1" x14ac:dyDescent="0.15">
      <c r="A209" s="6"/>
      <c r="D209" t="s">
        <v>90</v>
      </c>
      <c r="E209" t="str">
        <f>E154&amp;".54"</f>
        <v>7.54</v>
      </c>
      <c r="F209" t="s">
        <v>2068</v>
      </c>
      <c r="G209" t="s">
        <v>1088</v>
      </c>
      <c r="I209">
        <v>1.032</v>
      </c>
    </row>
    <row r="210" spans="1:9" ht="15" customHeight="1" x14ac:dyDescent="0.15">
      <c r="A210" s="6"/>
      <c r="D210" t="s">
        <v>90</v>
      </c>
      <c r="E210" t="str">
        <f>E154&amp;".55"</f>
        <v>7.55</v>
      </c>
      <c r="F210" t="s">
        <v>2069</v>
      </c>
      <c r="G210" t="s">
        <v>1088</v>
      </c>
      <c r="I210">
        <v>0.68799999999999994</v>
      </c>
    </row>
    <row r="211" spans="1:9" ht="15" customHeight="1" x14ac:dyDescent="0.15">
      <c r="A211" s="6"/>
      <c r="D211" t="s">
        <v>90</v>
      </c>
      <c r="E211" t="str">
        <f>E154&amp;".56"</f>
        <v>7.56</v>
      </c>
      <c r="F211" t="s">
        <v>2070</v>
      </c>
      <c r="G211" t="s">
        <v>1088</v>
      </c>
      <c r="I211">
        <v>1.21</v>
      </c>
    </row>
    <row r="212" spans="1:9" ht="15" customHeight="1" x14ac:dyDescent="0.15">
      <c r="A212" s="6"/>
      <c r="D212" t="s">
        <v>90</v>
      </c>
      <c r="E212" t="str">
        <f>E154&amp;".57"</f>
        <v>7.57</v>
      </c>
      <c r="F212" t="s">
        <v>2071</v>
      </c>
      <c r="G212" t="s">
        <v>1088</v>
      </c>
      <c r="I212">
        <v>1.032</v>
      </c>
    </row>
    <row r="213" spans="1:9" ht="15" customHeight="1" x14ac:dyDescent="0.15">
      <c r="A213" s="6"/>
      <c r="D213" t="s">
        <v>90</v>
      </c>
      <c r="E213" t="str">
        <f>E154&amp;".58"</f>
        <v>7.58</v>
      </c>
      <c r="F213" t="s">
        <v>2072</v>
      </c>
      <c r="G213" t="s">
        <v>1088</v>
      </c>
      <c r="I213">
        <v>6.45</v>
      </c>
    </row>
    <row r="214" spans="1:9" ht="15" customHeight="1" x14ac:dyDescent="0.15">
      <c r="A214" s="6"/>
      <c r="D214" t="s">
        <v>90</v>
      </c>
      <c r="E214" t="str">
        <f>E154&amp;".59"</f>
        <v>7.59</v>
      </c>
      <c r="F214" t="s">
        <v>2073</v>
      </c>
      <c r="G214" t="s">
        <v>1088</v>
      </c>
      <c r="I214">
        <v>2.2400000000000002</v>
      </c>
    </row>
    <row r="215" spans="1:9" ht="15" customHeight="1" x14ac:dyDescent="0.15">
      <c r="A215" s="6"/>
      <c r="D215" t="s">
        <v>90</v>
      </c>
      <c r="E215" t="str">
        <f>E154&amp;".60"</f>
        <v>7.60</v>
      </c>
      <c r="F215" t="s">
        <v>2074</v>
      </c>
      <c r="G215" t="s">
        <v>1088</v>
      </c>
      <c r="I215">
        <v>1.032</v>
      </c>
    </row>
    <row r="216" spans="1:9" ht="15" customHeight="1" x14ac:dyDescent="0.15">
      <c r="A216" s="6"/>
      <c r="D216" t="s">
        <v>90</v>
      </c>
      <c r="E216" t="str">
        <f>E154&amp;".61"</f>
        <v>7.61</v>
      </c>
      <c r="F216" t="s">
        <v>2075</v>
      </c>
      <c r="G216" t="s">
        <v>1088</v>
      </c>
      <c r="I216">
        <v>0.51600000000000001</v>
      </c>
    </row>
    <row r="217" spans="1:9" ht="15" customHeight="1" x14ac:dyDescent="0.15">
      <c r="A217" s="6"/>
      <c r="D217" t="s">
        <v>90</v>
      </c>
      <c r="E217" t="str">
        <f>E154&amp;".62"</f>
        <v>7.62</v>
      </c>
      <c r="F217" t="s">
        <v>2076</v>
      </c>
      <c r="G217" t="s">
        <v>1088</v>
      </c>
      <c r="I217">
        <v>0.51600000000000001</v>
      </c>
    </row>
    <row r="218" spans="1:9" ht="15" customHeight="1" x14ac:dyDescent="0.15">
      <c r="A218" s="6"/>
      <c r="D218" t="s">
        <v>90</v>
      </c>
      <c r="E218" t="str">
        <f>E154&amp;".63"</f>
        <v>7.63</v>
      </c>
      <c r="F218" t="s">
        <v>2077</v>
      </c>
      <c r="G218" t="s">
        <v>1088</v>
      </c>
      <c r="I218">
        <v>0.48</v>
      </c>
    </row>
    <row r="219" spans="1:9" ht="15" customHeight="1" x14ac:dyDescent="0.15">
      <c r="A219" s="6"/>
      <c r="D219" t="s">
        <v>90</v>
      </c>
      <c r="E219" t="str">
        <f>E154&amp;".64"</f>
        <v>7.64</v>
      </c>
      <c r="F219" t="s">
        <v>2078</v>
      </c>
      <c r="G219" t="s">
        <v>1088</v>
      </c>
      <c r="I219">
        <v>0.24</v>
      </c>
    </row>
    <row r="220" spans="1:9" ht="15" customHeight="1" x14ac:dyDescent="0.15">
      <c r="A220" s="6"/>
      <c r="D220" t="s">
        <v>90</v>
      </c>
      <c r="E220" t="str">
        <f>E154&amp;".65"</f>
        <v>7.65</v>
      </c>
      <c r="F220" t="s">
        <v>2079</v>
      </c>
      <c r="G220" t="s">
        <v>1088</v>
      </c>
      <c r="I220">
        <v>2.262</v>
      </c>
    </row>
    <row r="221" spans="1:9" ht="15" customHeight="1" x14ac:dyDescent="0.15">
      <c r="A221" s="6"/>
      <c r="D221" t="s">
        <v>90</v>
      </c>
      <c r="E221" t="str">
        <f>E154&amp;".66"</f>
        <v>7.66</v>
      </c>
      <c r="F221" t="s">
        <v>2080</v>
      </c>
      <c r="G221" t="s">
        <v>1088</v>
      </c>
      <c r="I221">
        <v>3.98</v>
      </c>
    </row>
    <row r="222" spans="1:9" ht="15" customHeight="1" x14ac:dyDescent="0.15">
      <c r="A222" s="6"/>
      <c r="D222" t="s">
        <v>90</v>
      </c>
      <c r="E222" t="str">
        <f>E154&amp;".67"</f>
        <v>7.67</v>
      </c>
      <c r="F222" t="s">
        <v>2081</v>
      </c>
      <c r="G222" t="s">
        <v>1088</v>
      </c>
      <c r="I222">
        <v>1.032</v>
      </c>
    </row>
    <row r="223" spans="1:9" ht="15" customHeight="1" x14ac:dyDescent="0.15">
      <c r="A223" s="6"/>
      <c r="D223" t="s">
        <v>90</v>
      </c>
      <c r="E223" t="str">
        <f>E154&amp;".68"</f>
        <v>7.68</v>
      </c>
      <c r="F223" t="s">
        <v>2082</v>
      </c>
      <c r="G223" t="s">
        <v>1088</v>
      </c>
      <c r="I223">
        <v>0.51600000000000001</v>
      </c>
    </row>
    <row r="224" spans="1:9" ht="15" customHeight="1" x14ac:dyDescent="0.15">
      <c r="A224" s="6"/>
      <c r="D224" t="s">
        <v>90</v>
      </c>
      <c r="E224" t="str">
        <f>E154&amp;".69"</f>
        <v>7.69</v>
      </c>
      <c r="F224" t="s">
        <v>2083</v>
      </c>
      <c r="G224" t="s">
        <v>1088</v>
      </c>
      <c r="I224">
        <v>1.548</v>
      </c>
    </row>
    <row r="225" spans="1:9" ht="15" customHeight="1" x14ac:dyDescent="0.15">
      <c r="A225" s="6"/>
      <c r="D225" t="s">
        <v>90</v>
      </c>
      <c r="E225" t="str">
        <f>E154&amp;".70"</f>
        <v>7.70</v>
      </c>
      <c r="F225" t="s">
        <v>2084</v>
      </c>
      <c r="G225" t="s">
        <v>1088</v>
      </c>
      <c r="I225">
        <v>6.45</v>
      </c>
    </row>
    <row r="226" spans="1:9" ht="15" customHeight="1" x14ac:dyDescent="0.15">
      <c r="A226" s="6"/>
      <c r="D226" t="s">
        <v>90</v>
      </c>
      <c r="E226" t="str">
        <f>E154&amp;".71"</f>
        <v>7.71</v>
      </c>
      <c r="F226" t="s">
        <v>2085</v>
      </c>
      <c r="G226" t="s">
        <v>1088</v>
      </c>
      <c r="I226">
        <v>8.32</v>
      </c>
    </row>
    <row r="227" spans="1:9" ht="15" customHeight="1" x14ac:dyDescent="0.15">
      <c r="A227" s="6"/>
      <c r="D227" t="s">
        <v>90</v>
      </c>
      <c r="E227" t="str">
        <f>E154&amp;".72"</f>
        <v>7.72</v>
      </c>
      <c r="F227" t="s">
        <v>2086</v>
      </c>
      <c r="G227" t="s">
        <v>1088</v>
      </c>
      <c r="I227">
        <v>2.2599999999999998</v>
      </c>
    </row>
    <row r="228" spans="1:9" ht="15" customHeight="1" x14ac:dyDescent="0.15">
      <c r="A228" s="6"/>
      <c r="D228" t="s">
        <v>90</v>
      </c>
      <c r="E228" t="str">
        <f>E154&amp;".73"</f>
        <v>7.73</v>
      </c>
      <c r="F228" t="s">
        <v>2087</v>
      </c>
      <c r="G228" t="s">
        <v>1088</v>
      </c>
      <c r="I228">
        <v>0.8</v>
      </c>
    </row>
    <row r="229" spans="1:9" ht="15" customHeight="1" x14ac:dyDescent="0.15">
      <c r="A229" s="6"/>
      <c r="D229" t="s">
        <v>90</v>
      </c>
      <c r="E229" t="str">
        <f>E154&amp;".74"</f>
        <v>7.74</v>
      </c>
      <c r="F229" t="s">
        <v>2088</v>
      </c>
      <c r="G229" t="s">
        <v>1088</v>
      </c>
      <c r="I229">
        <v>1.77</v>
      </c>
    </row>
    <row r="230" spans="1:9" ht="15" customHeight="1" x14ac:dyDescent="0.15">
      <c r="A230" s="6"/>
      <c r="D230" t="s">
        <v>90</v>
      </c>
      <c r="E230" t="str">
        <f>E154&amp;".75"</f>
        <v>7.75</v>
      </c>
      <c r="F230" t="s">
        <v>2089</v>
      </c>
      <c r="G230" t="s">
        <v>1088</v>
      </c>
      <c r="I230">
        <v>2.2400000000000002</v>
      </c>
    </row>
    <row r="231" spans="1:9" ht="15" customHeight="1" x14ac:dyDescent="0.15">
      <c r="A231" s="6"/>
      <c r="D231" t="s">
        <v>90</v>
      </c>
      <c r="E231" t="str">
        <f>E154&amp;".76"</f>
        <v>7.76</v>
      </c>
      <c r="F231" t="s">
        <v>2090</v>
      </c>
      <c r="G231" t="s">
        <v>1088</v>
      </c>
      <c r="I231">
        <v>0.47599999999999998</v>
      </c>
    </row>
    <row r="232" spans="1:9" ht="15" customHeight="1" x14ac:dyDescent="0.15">
      <c r="A232" s="6"/>
      <c r="D232" t="s">
        <v>90</v>
      </c>
      <c r="E232" t="str">
        <f>E154&amp;".77"</f>
        <v>7.77</v>
      </c>
      <c r="F232" t="s">
        <v>2091</v>
      </c>
      <c r="G232" t="s">
        <v>1088</v>
      </c>
      <c r="I232">
        <v>1.6220000000000001</v>
      </c>
    </row>
    <row r="233" spans="1:9" ht="15" customHeight="1" x14ac:dyDescent="0.15">
      <c r="A233" s="6"/>
      <c r="D233" t="s">
        <v>90</v>
      </c>
      <c r="E233" t="str">
        <f>E154&amp;".78"</f>
        <v>7.78</v>
      </c>
      <c r="F233" t="s">
        <v>2092</v>
      </c>
      <c r="G233" t="s">
        <v>1088</v>
      </c>
      <c r="I233">
        <v>3.9860000000000002</v>
      </c>
    </row>
    <row r="234" spans="1:9" ht="15" customHeight="1" x14ac:dyDescent="0.15">
      <c r="A234" s="6"/>
      <c r="D234" t="s">
        <v>90</v>
      </c>
      <c r="E234" t="str">
        <f>E154&amp;".79"</f>
        <v>7.79</v>
      </c>
      <c r="F234" t="s">
        <v>2093</v>
      </c>
      <c r="G234" t="s">
        <v>1088</v>
      </c>
      <c r="I234">
        <v>2.58</v>
      </c>
    </row>
    <row r="235" spans="1:9" ht="15" customHeight="1" x14ac:dyDescent="0.15">
      <c r="A235" s="6"/>
      <c r="D235" t="s">
        <v>90</v>
      </c>
      <c r="E235" t="str">
        <f>E154&amp;".80"</f>
        <v>7.80</v>
      </c>
      <c r="F235" t="s">
        <v>2094</v>
      </c>
      <c r="G235" t="s">
        <v>1088</v>
      </c>
      <c r="I235">
        <v>1.74</v>
      </c>
    </row>
    <row r="236" spans="1:9" ht="15" customHeight="1" x14ac:dyDescent="0.15">
      <c r="A236" s="6"/>
      <c r="D236" t="s">
        <v>90</v>
      </c>
      <c r="E236" t="str">
        <f>E154&amp;".81"</f>
        <v>7.81</v>
      </c>
      <c r="F236" t="s">
        <v>2095</v>
      </c>
      <c r="G236" t="s">
        <v>1088</v>
      </c>
      <c r="I236">
        <v>0.2</v>
      </c>
    </row>
    <row r="237" spans="1:9" ht="15" customHeight="1" x14ac:dyDescent="0.15">
      <c r="A237" s="6"/>
      <c r="D237" t="s">
        <v>90</v>
      </c>
      <c r="E237" t="str">
        <f>E154&amp;".82"</f>
        <v>7.82</v>
      </c>
      <c r="F237" t="s">
        <v>2096</v>
      </c>
      <c r="G237" t="s">
        <v>1088</v>
      </c>
      <c r="I237">
        <v>1.55</v>
      </c>
    </row>
    <row r="238" spans="1:9" ht="15" customHeight="1" x14ac:dyDescent="0.15">
      <c r="A238" s="6"/>
      <c r="D238" t="s">
        <v>90</v>
      </c>
      <c r="E238" t="str">
        <f>E154&amp;".83"</f>
        <v>7.83</v>
      </c>
      <c r="F238" t="s">
        <v>2097</v>
      </c>
      <c r="G238" t="s">
        <v>1088</v>
      </c>
      <c r="I238">
        <v>1.85</v>
      </c>
    </row>
    <row r="239" spans="1:9" ht="15" customHeight="1" x14ac:dyDescent="0.15">
      <c r="A239" s="6"/>
      <c r="D239" t="s">
        <v>90</v>
      </c>
      <c r="E239" t="str">
        <f>E154&amp;".84"</f>
        <v>7.84</v>
      </c>
      <c r="F239" t="s">
        <v>2098</v>
      </c>
      <c r="G239" t="s">
        <v>1088</v>
      </c>
      <c r="I239">
        <v>3.6</v>
      </c>
    </row>
    <row r="240" spans="1:9" ht="15" customHeight="1" x14ac:dyDescent="0.15">
      <c r="A240" s="6"/>
      <c r="D240" t="s">
        <v>90</v>
      </c>
      <c r="E240" t="str">
        <f>E154&amp;".85"</f>
        <v>7.85</v>
      </c>
      <c r="F240" t="s">
        <v>2099</v>
      </c>
      <c r="G240" t="s">
        <v>1088</v>
      </c>
      <c r="I240">
        <v>3.44</v>
      </c>
    </row>
    <row r="241" spans="1:9" ht="15" customHeight="1" x14ac:dyDescent="0.15">
      <c r="A241" s="6"/>
      <c r="D241" t="s">
        <v>90</v>
      </c>
      <c r="E241" t="str">
        <f>E154&amp;".86"</f>
        <v>7.86</v>
      </c>
      <c r="F241" t="s">
        <v>2100</v>
      </c>
      <c r="G241" t="s">
        <v>1088</v>
      </c>
      <c r="I241">
        <v>0.24</v>
      </c>
    </row>
    <row r="242" spans="1:9" ht="15" customHeight="1" x14ac:dyDescent="0.15">
      <c r="A242" s="6"/>
      <c r="D242" t="s">
        <v>90</v>
      </c>
      <c r="E242" t="str">
        <f>E154&amp;".87"</f>
        <v>7.87</v>
      </c>
      <c r="F242" t="s">
        <v>2101</v>
      </c>
      <c r="G242" t="s">
        <v>1088</v>
      </c>
      <c r="I242">
        <v>0.24</v>
      </c>
    </row>
    <row r="243" spans="1:9" ht="15" customHeight="1" x14ac:dyDescent="0.15">
      <c r="A243" s="6"/>
      <c r="D243" t="s">
        <v>90</v>
      </c>
      <c r="E243" t="str">
        <f>E154&amp;".88"</f>
        <v>7.88</v>
      </c>
      <c r="F243" t="s">
        <v>2102</v>
      </c>
      <c r="G243" t="s">
        <v>1088</v>
      </c>
      <c r="I243">
        <v>3.2759999999999998</v>
      </c>
    </row>
    <row r="244" spans="1:9" ht="15" customHeight="1" x14ac:dyDescent="0.15">
      <c r="A244" s="6"/>
      <c r="D244" t="s">
        <v>90</v>
      </c>
      <c r="E244" t="str">
        <f>E154&amp;".89"</f>
        <v>7.89</v>
      </c>
      <c r="F244" t="s">
        <v>2103</v>
      </c>
      <c r="G244" t="s">
        <v>1088</v>
      </c>
      <c r="I244">
        <v>1.016</v>
      </c>
    </row>
    <row r="245" spans="1:9" ht="15" customHeight="1" x14ac:dyDescent="0.15">
      <c r="A245" s="6"/>
      <c r="D245" t="s">
        <v>90</v>
      </c>
      <c r="E245" t="str">
        <f>E154&amp;".90"</f>
        <v>7.90</v>
      </c>
      <c r="F245" t="s">
        <v>2104</v>
      </c>
      <c r="G245" t="s">
        <v>1088</v>
      </c>
      <c r="I245">
        <v>1.032</v>
      </c>
    </row>
    <row r="246" spans="1:9" ht="15" customHeight="1" x14ac:dyDescent="0.15">
      <c r="A246" s="6"/>
      <c r="D246" t="s">
        <v>90</v>
      </c>
      <c r="E246" t="str">
        <f>E154&amp;".91"</f>
        <v>7.91</v>
      </c>
      <c r="F246" t="s">
        <v>2105</v>
      </c>
      <c r="G246" t="s">
        <v>1088</v>
      </c>
      <c r="I246">
        <v>3.26</v>
      </c>
    </row>
    <row r="247" spans="1:9" ht="15" customHeight="1" x14ac:dyDescent="0.15">
      <c r="A247" s="6"/>
      <c r="D247" t="s">
        <v>90</v>
      </c>
      <c r="E247" t="str">
        <f>E154&amp;".92"</f>
        <v>7.92</v>
      </c>
      <c r="F247" t="s">
        <v>2106</v>
      </c>
      <c r="G247" t="s">
        <v>1088</v>
      </c>
      <c r="I247">
        <v>0.51600000000000001</v>
      </c>
    </row>
    <row r="248" spans="1:9" ht="15" customHeight="1" x14ac:dyDescent="0.15">
      <c r="A248" s="6"/>
      <c r="D248" t="s">
        <v>90</v>
      </c>
      <c r="E248" t="str">
        <f>E154&amp;".93"</f>
        <v>7.93</v>
      </c>
      <c r="F248" t="s">
        <v>2107</v>
      </c>
      <c r="G248" t="s">
        <v>1088</v>
      </c>
      <c r="I248">
        <v>2.0640000000000001</v>
      </c>
    </row>
    <row r="249" spans="1:9" ht="15" customHeight="1" x14ac:dyDescent="0.15">
      <c r="A249" s="6"/>
      <c r="D249" t="s">
        <v>90</v>
      </c>
      <c r="E249" t="str">
        <f>E154&amp;".94"</f>
        <v>7.94</v>
      </c>
      <c r="F249" t="s">
        <v>2108</v>
      </c>
      <c r="G249" t="s">
        <v>1088</v>
      </c>
      <c r="I249">
        <v>1.032</v>
      </c>
    </row>
    <row r="250" spans="1:9" ht="15" customHeight="1" x14ac:dyDescent="0.15">
      <c r="A250" s="6"/>
      <c r="D250" t="s">
        <v>90</v>
      </c>
      <c r="E250" t="str">
        <f>E154&amp;".95"</f>
        <v>7.95</v>
      </c>
      <c r="F250" t="s">
        <v>2109</v>
      </c>
      <c r="G250" t="s">
        <v>1088</v>
      </c>
      <c r="I250">
        <v>3.98</v>
      </c>
    </row>
    <row r="251" spans="1:9" ht="15" customHeight="1" x14ac:dyDescent="0.15">
      <c r="A251" s="6"/>
      <c r="D251" t="s">
        <v>90</v>
      </c>
      <c r="E251" t="str">
        <f>E154&amp;".96"</f>
        <v>7.96</v>
      </c>
      <c r="F251" t="s">
        <v>2110</v>
      </c>
      <c r="G251" t="s">
        <v>1088</v>
      </c>
      <c r="I251">
        <v>1.08</v>
      </c>
    </row>
    <row r="252" spans="1:9" ht="15" customHeight="1" x14ac:dyDescent="0.15">
      <c r="A252" s="6"/>
      <c r="D252" t="s">
        <v>90</v>
      </c>
      <c r="E252" t="str">
        <f>E154&amp;".97"</f>
        <v>7.97</v>
      </c>
      <c r="F252" t="s">
        <v>2111</v>
      </c>
      <c r="G252" t="s">
        <v>1088</v>
      </c>
      <c r="I252">
        <v>0.51600000000000001</v>
      </c>
    </row>
    <row r="253" spans="1:9" ht="15" customHeight="1" x14ac:dyDescent="0.15">
      <c r="A253" s="6"/>
      <c r="D253" t="s">
        <v>90</v>
      </c>
      <c r="E253" t="str">
        <f>E154&amp;".98"</f>
        <v>7.98</v>
      </c>
      <c r="F253" t="s">
        <v>2112</v>
      </c>
      <c r="G253" t="s">
        <v>1088</v>
      </c>
      <c r="I253">
        <v>0.68799999999999994</v>
      </c>
    </row>
    <row r="254" spans="1:9" ht="15" customHeight="1" x14ac:dyDescent="0.15">
      <c r="A254" s="6"/>
      <c r="D254" t="s">
        <v>90</v>
      </c>
      <c r="E254" t="str">
        <f>E154&amp;".99"</f>
        <v>7.99</v>
      </c>
      <c r="F254" t="s">
        <v>2113</v>
      </c>
      <c r="G254" t="s">
        <v>1088</v>
      </c>
      <c r="I254">
        <v>1.089</v>
      </c>
    </row>
    <row r="255" spans="1:9" ht="15" customHeight="1" x14ac:dyDescent="0.15">
      <c r="A255" s="6"/>
      <c r="D255" t="s">
        <v>90</v>
      </c>
      <c r="E255" t="str">
        <f>E154&amp;".100"</f>
        <v>7.100</v>
      </c>
      <c r="F255" t="s">
        <v>2114</v>
      </c>
      <c r="G255" t="s">
        <v>1088</v>
      </c>
      <c r="I255">
        <v>1.98</v>
      </c>
    </row>
    <row r="256" spans="1:9" ht="15" customHeight="1" x14ac:dyDescent="0.15">
      <c r="A256" s="6"/>
      <c r="D256" t="s">
        <v>90</v>
      </c>
      <c r="E256" t="str">
        <f>E154&amp;".101"</f>
        <v>7.101</v>
      </c>
      <c r="F256" t="s">
        <v>2115</v>
      </c>
      <c r="G256" t="s">
        <v>1088</v>
      </c>
      <c r="I256">
        <v>3.2250000000000001</v>
      </c>
    </row>
    <row r="257" spans="1:9" ht="15" customHeight="1" x14ac:dyDescent="0.15">
      <c r="A257" s="6"/>
      <c r="D257" t="s">
        <v>90</v>
      </c>
      <c r="E257" t="str">
        <f>E154&amp;".102"</f>
        <v>7.102</v>
      </c>
      <c r="F257" t="s">
        <v>2116</v>
      </c>
      <c r="G257" t="s">
        <v>1088</v>
      </c>
      <c r="I257">
        <v>1.032</v>
      </c>
    </row>
    <row r="258" spans="1:9" ht="15" customHeight="1" x14ac:dyDescent="0.15">
      <c r="A258" s="6"/>
      <c r="D258" t="s">
        <v>90</v>
      </c>
      <c r="E258" t="str">
        <f>E154&amp;".103"</f>
        <v>7.103</v>
      </c>
      <c r="F258" t="s">
        <v>2117</v>
      </c>
      <c r="G258" t="s">
        <v>1088</v>
      </c>
      <c r="I258">
        <v>2.9780000000000002</v>
      </c>
    </row>
    <row r="259" spans="1:9" ht="15" customHeight="1" x14ac:dyDescent="0.15">
      <c r="A259" s="6"/>
      <c r="D259" t="s">
        <v>90</v>
      </c>
      <c r="E259" t="str">
        <f>E154&amp;".104"</f>
        <v>7.104</v>
      </c>
      <c r="F259" t="s">
        <v>2118</v>
      </c>
      <c r="G259" t="s">
        <v>1088</v>
      </c>
      <c r="I259">
        <v>0.21</v>
      </c>
    </row>
    <row r="260" spans="1:9" ht="15" customHeight="1" x14ac:dyDescent="0.15">
      <c r="A260" s="6"/>
      <c r="D260" t="s">
        <v>90</v>
      </c>
      <c r="E260" t="str">
        <f>E154&amp;".105"</f>
        <v>7.105</v>
      </c>
      <c r="F260" t="s">
        <v>2119</v>
      </c>
      <c r="G260" t="s">
        <v>1088</v>
      </c>
      <c r="I260">
        <v>1.08</v>
      </c>
    </row>
    <row r="261" spans="1:9" ht="15" customHeight="1" x14ac:dyDescent="0.15">
      <c r="A261" s="6"/>
      <c r="D261" t="s">
        <v>90</v>
      </c>
      <c r="E261" t="str">
        <f>E154&amp;".106"</f>
        <v>7.106</v>
      </c>
      <c r="F261" t="s">
        <v>2120</v>
      </c>
      <c r="G261" t="s">
        <v>1088</v>
      </c>
      <c r="I261">
        <v>1.77</v>
      </c>
    </row>
    <row r="262" spans="1:9" ht="15" customHeight="1" x14ac:dyDescent="0.15">
      <c r="A262" s="6"/>
      <c r="D262" t="s">
        <v>90</v>
      </c>
      <c r="E262" t="str">
        <f>E154&amp;".107"</f>
        <v>7.107</v>
      </c>
      <c r="F262" t="s">
        <v>2121</v>
      </c>
      <c r="G262" t="s">
        <v>1088</v>
      </c>
      <c r="I262">
        <v>7.5</v>
      </c>
    </row>
    <row r="263" spans="1:9" ht="15" customHeight="1" x14ac:dyDescent="0.15">
      <c r="A263" s="6"/>
      <c r="D263" t="s">
        <v>90</v>
      </c>
      <c r="E263" t="str">
        <f>E154&amp;".108"</f>
        <v>7.108</v>
      </c>
      <c r="F263" t="s">
        <v>2122</v>
      </c>
      <c r="G263" t="s">
        <v>1088</v>
      </c>
      <c r="I263">
        <v>0.88400000000000001</v>
      </c>
    </row>
    <row r="264" spans="1:9" ht="15" customHeight="1" x14ac:dyDescent="0.15">
      <c r="A264" s="6"/>
      <c r="D264" t="s">
        <v>90</v>
      </c>
      <c r="E264" t="str">
        <f>E154&amp;".109"</f>
        <v>7.109</v>
      </c>
      <c r="F264" t="s">
        <v>2123</v>
      </c>
      <c r="G264" t="s">
        <v>1088</v>
      </c>
      <c r="I264">
        <v>0.76</v>
      </c>
    </row>
    <row r="265" spans="1:9" ht="15" customHeight="1" x14ac:dyDescent="0.15">
      <c r="A265" s="6"/>
      <c r="D265" t="s">
        <v>90</v>
      </c>
      <c r="E265" t="str">
        <f>E154&amp;".110"</f>
        <v>7.110</v>
      </c>
      <c r="F265" t="s">
        <v>2124</v>
      </c>
      <c r="G265" t="s">
        <v>1088</v>
      </c>
      <c r="I265">
        <v>1.9179999999999999</v>
      </c>
    </row>
    <row r="266" spans="1:9" ht="15" customHeight="1" x14ac:dyDescent="0.15">
      <c r="A266" s="6"/>
      <c r="D266" t="s">
        <v>90</v>
      </c>
      <c r="E266" t="str">
        <f>E154&amp;".111"</f>
        <v>7.111</v>
      </c>
      <c r="F266" t="s">
        <v>2125</v>
      </c>
      <c r="G266" t="s">
        <v>1088</v>
      </c>
      <c r="I266">
        <v>7.74</v>
      </c>
    </row>
    <row r="267" spans="1:9" ht="15" customHeight="1" x14ac:dyDescent="0.15">
      <c r="A267" s="6"/>
      <c r="D267" t="s">
        <v>90</v>
      </c>
      <c r="E267" t="str">
        <f>E154&amp;".112"</f>
        <v>7.112</v>
      </c>
      <c r="F267" t="s">
        <v>2126</v>
      </c>
      <c r="G267" t="s">
        <v>1088</v>
      </c>
      <c r="I267">
        <v>3.87</v>
      </c>
    </row>
    <row r="268" spans="1:9" ht="15" customHeight="1" x14ac:dyDescent="0.15">
      <c r="A268" s="6"/>
      <c r="D268" t="s">
        <v>90</v>
      </c>
      <c r="E268" t="str">
        <f>E154&amp;".113"</f>
        <v>7.113</v>
      </c>
      <c r="F268" t="s">
        <v>2127</v>
      </c>
      <c r="G268" t="s">
        <v>1088</v>
      </c>
      <c r="I268">
        <v>1.72</v>
      </c>
    </row>
    <row r="269" spans="1:9" ht="15" customHeight="1" x14ac:dyDescent="0.15">
      <c r="A269" s="6"/>
      <c r="D269" t="s">
        <v>90</v>
      </c>
      <c r="E269" t="str">
        <f>E154&amp;".114"</f>
        <v>7.114</v>
      </c>
      <c r="F269" t="s">
        <v>2128</v>
      </c>
      <c r="G269" t="s">
        <v>1088</v>
      </c>
      <c r="I269">
        <v>8.6</v>
      </c>
    </row>
    <row r="270" spans="1:9" ht="15" customHeight="1" x14ac:dyDescent="0.15">
      <c r="A270" s="6"/>
      <c r="D270" t="s">
        <v>90</v>
      </c>
      <c r="E270" t="str">
        <f>E154&amp;".115"</f>
        <v>7.115</v>
      </c>
      <c r="F270" t="s">
        <v>2129</v>
      </c>
      <c r="G270" t="s">
        <v>1088</v>
      </c>
      <c r="I270">
        <v>66</v>
      </c>
    </row>
    <row r="271" spans="1:9" ht="15" customHeight="1" x14ac:dyDescent="0.15">
      <c r="A271" s="6"/>
      <c r="D271" t="s">
        <v>90</v>
      </c>
      <c r="E271" t="str">
        <f>E154&amp;".116"</f>
        <v>7.116</v>
      </c>
      <c r="F271" t="s">
        <v>2130</v>
      </c>
      <c r="G271" t="s">
        <v>1088</v>
      </c>
      <c r="I271">
        <v>8.5999999999999993E-2</v>
      </c>
    </row>
    <row r="272" spans="1:9" ht="15" customHeight="1" x14ac:dyDescent="0.15">
      <c r="A272" s="6"/>
      <c r="D272" t="s">
        <v>90</v>
      </c>
      <c r="E272" t="str">
        <f>E154&amp;".117"</f>
        <v>7.117</v>
      </c>
      <c r="F272" t="s">
        <v>2131</v>
      </c>
      <c r="G272" t="s">
        <v>1088</v>
      </c>
      <c r="I272">
        <v>6.45</v>
      </c>
    </row>
    <row r="273" spans="1:9" ht="15" customHeight="1" x14ac:dyDescent="0.15">
      <c r="A273" s="6"/>
      <c r="D273" t="s">
        <v>90</v>
      </c>
      <c r="E273" t="str">
        <f>E154&amp;".118"</f>
        <v>7.118</v>
      </c>
      <c r="F273" t="s">
        <v>2132</v>
      </c>
      <c r="G273" t="s">
        <v>1088</v>
      </c>
      <c r="I273">
        <v>8.6</v>
      </c>
    </row>
    <row r="274" spans="1:9" ht="15" customHeight="1" x14ac:dyDescent="0.15">
      <c r="A274" s="6"/>
      <c r="D274" t="s">
        <v>90</v>
      </c>
      <c r="E274" t="str">
        <f>E154&amp;".119"</f>
        <v>7.119</v>
      </c>
      <c r="F274" t="s">
        <v>2133</v>
      </c>
      <c r="G274" t="s">
        <v>1088</v>
      </c>
      <c r="I274">
        <v>0.31</v>
      </c>
    </row>
    <row r="275" spans="1:9" ht="15" customHeight="1" x14ac:dyDescent="0.15">
      <c r="A275" s="6"/>
      <c r="D275" t="s">
        <v>90</v>
      </c>
      <c r="E275" t="str">
        <f>E154&amp;".120"</f>
        <v>7.120</v>
      </c>
      <c r="F275" t="s">
        <v>2134</v>
      </c>
      <c r="G275" t="s">
        <v>1088</v>
      </c>
      <c r="I275">
        <v>1.032</v>
      </c>
    </row>
    <row r="276" spans="1:9" ht="15" customHeight="1" x14ac:dyDescent="0.15">
      <c r="A276" s="6"/>
      <c r="D276" t="s">
        <v>90</v>
      </c>
      <c r="E276" t="str">
        <f>E154&amp;".121"</f>
        <v>7.121</v>
      </c>
      <c r="F276" t="s">
        <v>2135</v>
      </c>
      <c r="G276" t="s">
        <v>1088</v>
      </c>
      <c r="I276">
        <v>21.9</v>
      </c>
    </row>
    <row r="277" spans="1:9" ht="15" customHeight="1" x14ac:dyDescent="0.15">
      <c r="A277" s="6"/>
      <c r="D277" t="s">
        <v>90</v>
      </c>
      <c r="E277" t="str">
        <f>E154&amp;".122"</f>
        <v>7.122</v>
      </c>
      <c r="F277" t="s">
        <v>2136</v>
      </c>
      <c r="G277" t="s">
        <v>1088</v>
      </c>
      <c r="I277">
        <v>2.58</v>
      </c>
    </row>
    <row r="278" spans="1:9" ht="15" customHeight="1" x14ac:dyDescent="0.15">
      <c r="A278" s="6"/>
      <c r="D278" t="s">
        <v>90</v>
      </c>
      <c r="E278" t="str">
        <f>E154&amp;".123"</f>
        <v>7.123</v>
      </c>
      <c r="F278" t="s">
        <v>2137</v>
      </c>
      <c r="G278" t="s">
        <v>1088</v>
      </c>
      <c r="I278">
        <v>146</v>
      </c>
    </row>
    <row r="279" spans="1:9" ht="15" customHeight="1" x14ac:dyDescent="0.15">
      <c r="A279" s="6"/>
      <c r="D279" t="s">
        <v>90</v>
      </c>
      <c r="E279" t="str">
        <f>E154&amp;".124"</f>
        <v>7.124</v>
      </c>
      <c r="F279" t="s">
        <v>2138</v>
      </c>
      <c r="G279" t="s">
        <v>1088</v>
      </c>
      <c r="I279">
        <v>75.900000000000006</v>
      </c>
    </row>
    <row r="280" spans="1:9" ht="15" customHeight="1" x14ac:dyDescent="0.15">
      <c r="A280" s="6"/>
      <c r="D280" t="s">
        <v>90</v>
      </c>
      <c r="E280" t="str">
        <f>E154&amp;".125"</f>
        <v>7.125</v>
      </c>
      <c r="F280" t="s">
        <v>2139</v>
      </c>
      <c r="G280" t="s">
        <v>1088</v>
      </c>
      <c r="I280">
        <v>59.4</v>
      </c>
    </row>
    <row r="281" spans="1:9" ht="15" customHeight="1" x14ac:dyDescent="0.15">
      <c r="A281" s="6"/>
      <c r="D281" t="s">
        <v>90</v>
      </c>
      <c r="E281" t="str">
        <f>E154&amp;".126"</f>
        <v>7.126</v>
      </c>
      <c r="F281" t="s">
        <v>2140</v>
      </c>
      <c r="G281" t="s">
        <v>1088</v>
      </c>
      <c r="I281">
        <v>7.98</v>
      </c>
    </row>
    <row r="282" spans="1:9" ht="15" customHeight="1" x14ac:dyDescent="0.15">
      <c r="A282" s="6"/>
      <c r="D282" t="s">
        <v>90</v>
      </c>
      <c r="E282" t="str">
        <f>E154&amp;".127"</f>
        <v>7.127</v>
      </c>
      <c r="F282" t="s">
        <v>2141</v>
      </c>
      <c r="G282" t="s">
        <v>1088</v>
      </c>
      <c r="I282">
        <v>3.9</v>
      </c>
    </row>
    <row r="283" spans="1:9" ht="15" customHeight="1" x14ac:dyDescent="0.15">
      <c r="A283" s="6"/>
      <c r="D283" t="s">
        <v>90</v>
      </c>
      <c r="E283" t="str">
        <f>E154&amp;".128"</f>
        <v>7.128</v>
      </c>
      <c r="F283" t="s">
        <v>2142</v>
      </c>
      <c r="G283" t="s">
        <v>1088</v>
      </c>
      <c r="I283">
        <v>13.2</v>
      </c>
    </row>
    <row r="284" spans="1:9" ht="15" customHeight="1" x14ac:dyDescent="0.15">
      <c r="A284" s="6"/>
      <c r="D284" t="s">
        <v>90</v>
      </c>
      <c r="E284" t="str">
        <f>E154&amp;".129"</f>
        <v>7.129</v>
      </c>
      <c r="F284" t="s">
        <v>2143</v>
      </c>
      <c r="G284" t="s">
        <v>1088</v>
      </c>
      <c r="I284">
        <v>2.76</v>
      </c>
    </row>
    <row r="285" spans="1:9" ht="15" customHeight="1" x14ac:dyDescent="0.15">
      <c r="A285" s="6"/>
      <c r="D285" t="s">
        <v>90</v>
      </c>
      <c r="E285" t="str">
        <f>E154&amp;".130"</f>
        <v>7.130</v>
      </c>
      <c r="F285" t="s">
        <v>2144</v>
      </c>
      <c r="G285" t="s">
        <v>1088</v>
      </c>
      <c r="I285">
        <v>2.0699999999999998</v>
      </c>
    </row>
    <row r="286" spans="1:9" ht="15" customHeight="1" x14ac:dyDescent="0.15">
      <c r="A286" s="6"/>
      <c r="D286" t="s">
        <v>90</v>
      </c>
      <c r="E286" t="str">
        <f>E154&amp;".131"</f>
        <v>7.131</v>
      </c>
      <c r="F286" t="s">
        <v>2145</v>
      </c>
      <c r="G286" t="s">
        <v>1088</v>
      </c>
      <c r="I286">
        <v>0.52</v>
      </c>
    </row>
    <row r="287" spans="1:9" ht="15" customHeight="1" x14ac:dyDescent="0.15">
      <c r="A287" s="6"/>
      <c r="D287" t="s">
        <v>90</v>
      </c>
      <c r="E287" t="str">
        <f>E154&amp;".132"</f>
        <v>7.132</v>
      </c>
      <c r="F287" t="s">
        <v>2146</v>
      </c>
      <c r="G287" t="s">
        <v>1088</v>
      </c>
      <c r="I287">
        <v>0.31</v>
      </c>
    </row>
    <row r="288" spans="1:9" ht="15" customHeight="1" x14ac:dyDescent="0.15">
      <c r="A288" s="6"/>
      <c r="D288" t="s">
        <v>90</v>
      </c>
      <c r="E288" t="str">
        <f>E154&amp;".133"</f>
        <v>7.133</v>
      </c>
      <c r="F288" t="s">
        <v>2147</v>
      </c>
      <c r="G288" t="s">
        <v>1088</v>
      </c>
      <c r="I288">
        <v>0.52700000000000002</v>
      </c>
    </row>
    <row r="289" spans="1:9" ht="15" customHeight="1" x14ac:dyDescent="0.15">
      <c r="A289" s="6"/>
      <c r="D289" t="s">
        <v>90</v>
      </c>
      <c r="E289" t="str">
        <f>E154&amp;".134"</f>
        <v>7.134</v>
      </c>
      <c r="F289" t="s">
        <v>2148</v>
      </c>
      <c r="G289" t="s">
        <v>1088</v>
      </c>
      <c r="I289">
        <v>6.8</v>
      </c>
    </row>
    <row r="290" spans="1:9" ht="15" customHeight="1" x14ac:dyDescent="0.15">
      <c r="A290" s="6"/>
      <c r="D290" t="s">
        <v>90</v>
      </c>
      <c r="E290" t="str">
        <f>E154&amp;".135"</f>
        <v>7.135</v>
      </c>
      <c r="F290" t="s">
        <v>2149</v>
      </c>
      <c r="G290" t="s">
        <v>1088</v>
      </c>
      <c r="I290">
        <v>0.52</v>
      </c>
    </row>
    <row r="291" spans="1:9" ht="15" customHeight="1" x14ac:dyDescent="0.15">
      <c r="A291" s="6"/>
      <c r="D291" t="s">
        <v>90</v>
      </c>
      <c r="E291" t="str">
        <f>E154&amp;".136"</f>
        <v>7.136</v>
      </c>
      <c r="F291" t="s">
        <v>2150</v>
      </c>
      <c r="G291" t="s">
        <v>1088</v>
      </c>
      <c r="I291">
        <v>0.52</v>
      </c>
    </row>
    <row r="292" spans="1:9" ht="15" customHeight="1" x14ac:dyDescent="0.15">
      <c r="A292" s="6"/>
      <c r="D292" t="s">
        <v>90</v>
      </c>
      <c r="E292" t="str">
        <f>E154&amp;".137"</f>
        <v>7.137</v>
      </c>
      <c r="F292" t="s">
        <v>2151</v>
      </c>
      <c r="G292" t="s">
        <v>1088</v>
      </c>
      <c r="I292">
        <v>0.27600000000000002</v>
      </c>
    </row>
    <row r="293" spans="1:9" ht="15" customHeight="1" x14ac:dyDescent="0.15">
      <c r="A293" s="6"/>
      <c r="D293" t="s">
        <v>90</v>
      </c>
      <c r="E293" t="str">
        <f>E154&amp;".138"</f>
        <v>7.138</v>
      </c>
      <c r="F293" t="s">
        <v>2152</v>
      </c>
      <c r="G293" t="s">
        <v>1088</v>
      </c>
      <c r="I293">
        <v>0.24</v>
      </c>
    </row>
    <row r="294" spans="1:9" ht="15" customHeight="1" x14ac:dyDescent="0.15">
      <c r="A294" s="6"/>
      <c r="D294" t="s">
        <v>90</v>
      </c>
      <c r="E294" t="str">
        <f>E154&amp;".139"</f>
        <v>7.139</v>
      </c>
      <c r="F294" t="s">
        <v>2153</v>
      </c>
      <c r="G294" t="s">
        <v>1088</v>
      </c>
      <c r="I294">
        <v>0.68799999999999994</v>
      </c>
    </row>
    <row r="295" spans="1:9" ht="15" customHeight="1" x14ac:dyDescent="0.15">
      <c r="A295" s="6"/>
      <c r="D295" t="s">
        <v>90</v>
      </c>
      <c r="E295" t="str">
        <f>E154&amp;".140"</f>
        <v>7.140</v>
      </c>
      <c r="F295" t="s">
        <v>2154</v>
      </c>
      <c r="G295" t="s">
        <v>1088</v>
      </c>
      <c r="I295">
        <v>0.24</v>
      </c>
    </row>
    <row r="296" spans="1:9" ht="15" customHeight="1" x14ac:dyDescent="0.15">
      <c r="A296" s="6"/>
      <c r="D296" t="s">
        <v>90</v>
      </c>
      <c r="E296" t="str">
        <f>E154&amp;".141"</f>
        <v>7.141</v>
      </c>
      <c r="F296" t="s">
        <v>2155</v>
      </c>
      <c r="G296" t="s">
        <v>1088</v>
      </c>
      <c r="I296">
        <v>0.69</v>
      </c>
    </row>
    <row r="297" spans="1:9" ht="15" customHeight="1" x14ac:dyDescent="0.15">
      <c r="A297" s="6"/>
      <c r="D297" t="s">
        <v>90</v>
      </c>
      <c r="E297" t="str">
        <f>E154&amp;".142"</f>
        <v>7.142</v>
      </c>
      <c r="F297" t="s">
        <v>2156</v>
      </c>
      <c r="G297" t="s">
        <v>1088</v>
      </c>
      <c r="I297">
        <v>0.22</v>
      </c>
    </row>
    <row r="298" spans="1:9" ht="15" customHeight="1" x14ac:dyDescent="0.15">
      <c r="A298" s="6"/>
      <c r="D298" t="s">
        <v>90</v>
      </c>
      <c r="E298" t="str">
        <f>E154&amp;".143"</f>
        <v>7.143</v>
      </c>
      <c r="F298" t="s">
        <v>2157</v>
      </c>
      <c r="G298" t="s">
        <v>1088</v>
      </c>
      <c r="I298">
        <v>4.2</v>
      </c>
    </row>
    <row r="299" spans="1:9" ht="15" customHeight="1" x14ac:dyDescent="0.15">
      <c r="A299" s="6"/>
      <c r="D299" t="s">
        <v>90</v>
      </c>
      <c r="E299" t="str">
        <f>E154&amp;".144"</f>
        <v>7.144</v>
      </c>
      <c r="F299" t="s">
        <v>2158</v>
      </c>
      <c r="G299" t="s">
        <v>1088</v>
      </c>
      <c r="I299">
        <v>1.56</v>
      </c>
    </row>
    <row r="300" spans="1:9" ht="15" customHeight="1" x14ac:dyDescent="0.15">
      <c r="A300" s="6"/>
      <c r="D300" t="s">
        <v>90</v>
      </c>
      <c r="E300" t="str">
        <f>E154&amp;".145"</f>
        <v>7.145</v>
      </c>
      <c r="F300" t="s">
        <v>2159</v>
      </c>
      <c r="G300" t="s">
        <v>1088</v>
      </c>
      <c r="I300">
        <v>3.44</v>
      </c>
    </row>
    <row r="301" spans="1:9" ht="15" customHeight="1" x14ac:dyDescent="0.15">
      <c r="A301" s="6"/>
      <c r="D301" t="s">
        <v>90</v>
      </c>
      <c r="E301" t="str">
        <f>E154&amp;".146"</f>
        <v>7.146</v>
      </c>
      <c r="F301" t="s">
        <v>2160</v>
      </c>
      <c r="G301" t="s">
        <v>1088</v>
      </c>
      <c r="I301">
        <v>0.97</v>
      </c>
    </row>
    <row r="302" spans="1:9" ht="15" customHeight="1" x14ac:dyDescent="0.15">
      <c r="A302" s="6"/>
      <c r="D302" t="s">
        <v>90</v>
      </c>
      <c r="E302" t="str">
        <f>E154&amp;".147"</f>
        <v>7.147</v>
      </c>
      <c r="F302" t="s">
        <v>2161</v>
      </c>
      <c r="G302" t="s">
        <v>1088</v>
      </c>
      <c r="I302">
        <v>0.51600000000000001</v>
      </c>
    </row>
    <row r="303" spans="1:9" ht="15" customHeight="1" x14ac:dyDescent="0.15">
      <c r="A303" s="6"/>
      <c r="D303" t="s">
        <v>90</v>
      </c>
      <c r="E303" t="str">
        <f>E154&amp;".148"</f>
        <v>7.148</v>
      </c>
      <c r="F303" t="s">
        <v>2162</v>
      </c>
      <c r="G303" t="s">
        <v>1088</v>
      </c>
      <c r="I303">
        <v>0.24</v>
      </c>
    </row>
    <row r="304" spans="1:9" ht="15" customHeight="1" x14ac:dyDescent="0.15">
      <c r="A304" s="6"/>
      <c r="D304" t="s">
        <v>90</v>
      </c>
      <c r="E304" t="str">
        <f>E154&amp;".149"</f>
        <v>7.149</v>
      </c>
      <c r="F304" t="s">
        <v>2163</v>
      </c>
      <c r="G304" t="s">
        <v>1088</v>
      </c>
      <c r="I304">
        <v>0.12</v>
      </c>
    </row>
    <row r="305" spans="1:9" ht="15" customHeight="1" x14ac:dyDescent="0.15">
      <c r="A305" s="6"/>
      <c r="D305" t="s">
        <v>90</v>
      </c>
      <c r="E305" t="str">
        <f>E154&amp;".150"</f>
        <v>7.150</v>
      </c>
      <c r="F305" t="s">
        <v>2164</v>
      </c>
      <c r="G305" t="s">
        <v>1088</v>
      </c>
      <c r="I305">
        <v>33</v>
      </c>
    </row>
    <row r="306" spans="1:9" ht="15" customHeight="1" x14ac:dyDescent="0.15">
      <c r="A306" s="6"/>
      <c r="D306" t="s">
        <v>90</v>
      </c>
      <c r="E306" t="str">
        <f>E154&amp;".151"</f>
        <v>7.151</v>
      </c>
      <c r="F306" t="s">
        <v>2165</v>
      </c>
      <c r="G306" t="s">
        <v>1088</v>
      </c>
      <c r="I306">
        <v>8.6</v>
      </c>
    </row>
    <row r="307" spans="1:9" ht="15" customHeight="1" x14ac:dyDescent="0.15">
      <c r="A307" s="6"/>
      <c r="D307" t="s">
        <v>90</v>
      </c>
      <c r="E307" t="str">
        <f>E154&amp;".152"</f>
        <v>7.152</v>
      </c>
      <c r="F307" t="s">
        <v>2166</v>
      </c>
      <c r="G307" t="s">
        <v>1088</v>
      </c>
      <c r="I307">
        <v>10.75</v>
      </c>
    </row>
    <row r="308" spans="1:9" ht="15" customHeight="1" x14ac:dyDescent="0.15">
      <c r="A308" s="6"/>
      <c r="D308" t="s">
        <v>90</v>
      </c>
      <c r="E308" t="str">
        <f>E154&amp;".153"</f>
        <v>7.153</v>
      </c>
      <c r="F308" t="s">
        <v>2167</v>
      </c>
      <c r="G308" t="s">
        <v>1088</v>
      </c>
      <c r="I308">
        <v>1.56</v>
      </c>
    </row>
    <row r="309" spans="1:9" ht="15" customHeight="1" x14ac:dyDescent="0.15">
      <c r="A309" s="6"/>
      <c r="D309" t="s">
        <v>90</v>
      </c>
      <c r="E309" t="str">
        <f>E154&amp;".154"</f>
        <v>7.154</v>
      </c>
      <c r="F309" t="s">
        <v>2168</v>
      </c>
      <c r="G309" t="s">
        <v>1088</v>
      </c>
      <c r="I309">
        <v>1.62</v>
      </c>
    </row>
    <row r="310" spans="1:9" ht="15" customHeight="1" x14ac:dyDescent="0.15">
      <c r="A310" s="6"/>
      <c r="D310" t="s">
        <v>90</v>
      </c>
      <c r="E310" t="str">
        <f>E154&amp;".155"</f>
        <v>7.155</v>
      </c>
      <c r="F310" t="s">
        <v>2169</v>
      </c>
      <c r="G310" t="s">
        <v>1088</v>
      </c>
      <c r="I310">
        <v>0.68</v>
      </c>
    </row>
    <row r="311" spans="1:9" ht="15" customHeight="1" x14ac:dyDescent="0.15">
      <c r="A311" s="6"/>
      <c r="D311" t="s">
        <v>90</v>
      </c>
      <c r="E311" t="str">
        <f>E154&amp;".156"</f>
        <v>7.156</v>
      </c>
      <c r="F311" t="s">
        <v>2170</v>
      </c>
      <c r="G311" t="s">
        <v>1088</v>
      </c>
      <c r="I311">
        <v>1.62</v>
      </c>
    </row>
    <row r="312" spans="1:9" ht="15" customHeight="1" x14ac:dyDescent="0.15">
      <c r="A312" s="6"/>
      <c r="D312" t="s">
        <v>90</v>
      </c>
      <c r="E312" t="str">
        <f>E154&amp;".157"</f>
        <v>7.157</v>
      </c>
      <c r="F312" t="s">
        <v>2171</v>
      </c>
      <c r="G312" t="s">
        <v>1088</v>
      </c>
      <c r="I312">
        <v>1.44</v>
      </c>
    </row>
    <row r="313" spans="1:9" ht="15" customHeight="1" x14ac:dyDescent="0.15">
      <c r="A313" s="6"/>
      <c r="D313" t="s">
        <v>90</v>
      </c>
      <c r="E313" t="str">
        <f>E154&amp;".158"</f>
        <v>7.158</v>
      </c>
      <c r="F313" t="s">
        <v>2172</v>
      </c>
      <c r="G313" t="s">
        <v>1088</v>
      </c>
      <c r="I313">
        <v>1.2</v>
      </c>
    </row>
    <row r="314" spans="1:9" ht="15" customHeight="1" x14ac:dyDescent="0.15">
      <c r="A314" s="6"/>
      <c r="D314" t="s">
        <v>90</v>
      </c>
      <c r="E314" t="str">
        <f>E154&amp;".159"</f>
        <v>7.159</v>
      </c>
      <c r="F314" t="s">
        <v>2173</v>
      </c>
      <c r="G314" t="s">
        <v>1088</v>
      </c>
      <c r="I314">
        <v>0.51600000000000001</v>
      </c>
    </row>
    <row r="315" spans="1:9" ht="15" customHeight="1" x14ac:dyDescent="0.15">
      <c r="A315" s="6"/>
      <c r="D315" t="s">
        <v>90</v>
      </c>
      <c r="E315" t="str">
        <f>E154&amp;".160"</f>
        <v>7.160</v>
      </c>
      <c r="F315" t="s">
        <v>2174</v>
      </c>
      <c r="G315" t="s">
        <v>1088</v>
      </c>
      <c r="I315">
        <v>0.31</v>
      </c>
    </row>
    <row r="316" spans="1:9" ht="15" customHeight="1" x14ac:dyDescent="0.15">
      <c r="A316" s="6"/>
      <c r="D316" t="s">
        <v>90</v>
      </c>
      <c r="E316" t="str">
        <f>E154&amp;".161"</f>
        <v>7.161</v>
      </c>
      <c r="F316" t="s">
        <v>2175</v>
      </c>
      <c r="G316" t="s">
        <v>1088</v>
      </c>
      <c r="I316">
        <v>0.24</v>
      </c>
    </row>
    <row r="317" spans="1:9" ht="15" customHeight="1" x14ac:dyDescent="0.15">
      <c r="A317" s="6"/>
      <c r="D317" t="s">
        <v>90</v>
      </c>
      <c r="E317" t="str">
        <f>E154&amp;".162"</f>
        <v>7.162</v>
      </c>
      <c r="F317" t="s">
        <v>2176</v>
      </c>
      <c r="G317" t="s">
        <v>1088</v>
      </c>
      <c r="I317">
        <v>1.8919999999999999</v>
      </c>
    </row>
    <row r="318" spans="1:9" ht="15" customHeight="1" x14ac:dyDescent="0.15">
      <c r="A318" s="6"/>
      <c r="D318" t="s">
        <v>90</v>
      </c>
      <c r="E318" t="str">
        <f>E154&amp;".163"</f>
        <v>7.163</v>
      </c>
      <c r="F318" t="s">
        <v>2177</v>
      </c>
      <c r="G318" t="s">
        <v>1088</v>
      </c>
      <c r="I318">
        <v>6.6379999999999999</v>
      </c>
    </row>
    <row r="319" spans="1:9" ht="15" customHeight="1" x14ac:dyDescent="0.15">
      <c r="A319" s="6"/>
      <c r="D319" t="s">
        <v>90</v>
      </c>
      <c r="E319" t="str">
        <f>E154&amp;".164"</f>
        <v>7.164</v>
      </c>
      <c r="F319" t="s">
        <v>2178</v>
      </c>
      <c r="G319" t="s">
        <v>1088</v>
      </c>
      <c r="I319">
        <v>0.31</v>
      </c>
    </row>
    <row r="320" spans="1:9" ht="15" customHeight="1" x14ac:dyDescent="0.15">
      <c r="A320" s="6"/>
      <c r="D320" t="s">
        <v>90</v>
      </c>
      <c r="E320" t="str">
        <f>E154&amp;".165"</f>
        <v>7.165</v>
      </c>
      <c r="F320" t="s">
        <v>2179</v>
      </c>
      <c r="G320" t="s">
        <v>1088</v>
      </c>
      <c r="I320">
        <v>56.96</v>
      </c>
    </row>
    <row r="321" spans="1:9" ht="15" customHeight="1" x14ac:dyDescent="0.15">
      <c r="A321" s="6"/>
      <c r="D321" t="s">
        <v>90</v>
      </c>
      <c r="E321" t="str">
        <f>E154&amp;".166"</f>
        <v>7.166</v>
      </c>
      <c r="F321" t="s">
        <v>2180</v>
      </c>
      <c r="G321" t="s">
        <v>1088</v>
      </c>
      <c r="I321">
        <v>0.51600000000000001</v>
      </c>
    </row>
    <row r="322" spans="1:9" ht="15" customHeight="1" x14ac:dyDescent="0.15">
      <c r="A322" s="6"/>
      <c r="D322" t="s">
        <v>90</v>
      </c>
      <c r="E322" t="str">
        <f>E154&amp;".167"</f>
        <v>7.167</v>
      </c>
      <c r="F322" t="s">
        <v>2181</v>
      </c>
      <c r="G322" t="s">
        <v>1088</v>
      </c>
      <c r="I322">
        <v>0.51600000000000001</v>
      </c>
    </row>
    <row r="323" spans="1:9" ht="15" customHeight="1" x14ac:dyDescent="0.15">
      <c r="A323" s="6"/>
      <c r="D323" t="s">
        <v>90</v>
      </c>
      <c r="E323" t="str">
        <f>E154&amp;".168"</f>
        <v>7.168</v>
      </c>
      <c r="F323" t="s">
        <v>2182</v>
      </c>
      <c r="G323" t="s">
        <v>1088</v>
      </c>
      <c r="I323">
        <v>4.165</v>
      </c>
    </row>
    <row r="324" spans="1:9" ht="15" customHeight="1" x14ac:dyDescent="0.15">
      <c r="A324" s="6"/>
      <c r="D324" t="s">
        <v>90</v>
      </c>
      <c r="E324" t="str">
        <f>E154&amp;".169"</f>
        <v>7.169</v>
      </c>
      <c r="F324" t="s">
        <v>2183</v>
      </c>
      <c r="G324" t="s">
        <v>1088</v>
      </c>
      <c r="I324">
        <v>3.35</v>
      </c>
    </row>
    <row r="325" spans="1:9" ht="15" customHeight="1" x14ac:dyDescent="0.15">
      <c r="A325" s="6"/>
      <c r="D325" t="s">
        <v>90</v>
      </c>
      <c r="E325" t="str">
        <f>E154&amp;".170"</f>
        <v>7.170</v>
      </c>
      <c r="F325" t="s">
        <v>2184</v>
      </c>
      <c r="G325" t="s">
        <v>1088</v>
      </c>
      <c r="I325">
        <v>16.408999999999999</v>
      </c>
    </row>
    <row r="326" spans="1:9" ht="15" customHeight="1" x14ac:dyDescent="0.15">
      <c r="A326" s="6"/>
      <c r="D326" t="s">
        <v>90</v>
      </c>
      <c r="E326" t="str">
        <f>E154&amp;".171"</f>
        <v>7.171</v>
      </c>
      <c r="F326" t="s">
        <v>2185</v>
      </c>
      <c r="G326" t="s">
        <v>1088</v>
      </c>
      <c r="I326">
        <v>2.52</v>
      </c>
    </row>
    <row r="327" spans="1:9" ht="15" customHeight="1" x14ac:dyDescent="0.15">
      <c r="A327" s="6"/>
      <c r="D327" t="s">
        <v>90</v>
      </c>
      <c r="E327" t="str">
        <f>E154&amp;".172"</f>
        <v>7.172</v>
      </c>
      <c r="F327" t="s">
        <v>2186</v>
      </c>
      <c r="G327" t="s">
        <v>1088</v>
      </c>
      <c r="I327">
        <v>1.34</v>
      </c>
    </row>
    <row r="328" spans="1:9" ht="15" customHeight="1" x14ac:dyDescent="0.15">
      <c r="A328" s="6"/>
      <c r="D328" t="s">
        <v>90</v>
      </c>
      <c r="E328" t="str">
        <f>E154&amp;".173"</f>
        <v>7.173</v>
      </c>
      <c r="F328" t="s">
        <v>2187</v>
      </c>
      <c r="G328" t="s">
        <v>1088</v>
      </c>
      <c r="I328">
        <v>2.8</v>
      </c>
    </row>
    <row r="329" spans="1:9" ht="15" customHeight="1" x14ac:dyDescent="0.15">
      <c r="A329" s="6"/>
      <c r="D329" t="s">
        <v>90</v>
      </c>
      <c r="E329" t="str">
        <f>E154&amp;".174"</f>
        <v>7.174</v>
      </c>
      <c r="F329" t="s">
        <v>2188</v>
      </c>
      <c r="G329" t="s">
        <v>1088</v>
      </c>
      <c r="I329">
        <v>4.5</v>
      </c>
    </row>
    <row r="330" spans="1:9" ht="15" customHeight="1" x14ac:dyDescent="0.15">
      <c r="A330" s="6"/>
      <c r="D330" t="s">
        <v>90</v>
      </c>
      <c r="E330" t="str">
        <f>E154&amp;".175"</f>
        <v>7.175</v>
      </c>
      <c r="F330" t="s">
        <v>2189</v>
      </c>
      <c r="G330" t="s">
        <v>1088</v>
      </c>
      <c r="I330">
        <v>0.189</v>
      </c>
    </row>
    <row r="331" spans="1:9" ht="15" customHeight="1" x14ac:dyDescent="0.15">
      <c r="A331" s="6"/>
      <c r="D331" t="s">
        <v>90</v>
      </c>
      <c r="E331" t="str">
        <f>E154&amp;".176"</f>
        <v>7.176</v>
      </c>
      <c r="F331" t="s">
        <v>2190</v>
      </c>
      <c r="G331" t="s">
        <v>1088</v>
      </c>
      <c r="I331">
        <v>1.4059999999999999</v>
      </c>
    </row>
    <row r="332" spans="1:9" ht="15" customHeight="1" x14ac:dyDescent="0.15">
      <c r="A332" s="6"/>
      <c r="D332" t="s">
        <v>90</v>
      </c>
      <c r="E332" t="str">
        <f>E154&amp;".177"</f>
        <v>7.177</v>
      </c>
      <c r="F332" t="s">
        <v>2191</v>
      </c>
      <c r="G332" t="s">
        <v>1088</v>
      </c>
      <c r="I332">
        <v>0.31</v>
      </c>
    </row>
    <row r="333" spans="1:9" ht="15" customHeight="1" x14ac:dyDescent="0.15">
      <c r="A333" s="6"/>
      <c r="D333" t="s">
        <v>90</v>
      </c>
      <c r="E333" t="str">
        <f>E154&amp;".178"</f>
        <v>7.178</v>
      </c>
      <c r="F333" t="s">
        <v>2192</v>
      </c>
      <c r="G333" t="s">
        <v>1088</v>
      </c>
      <c r="I333">
        <v>0.68799999999999994</v>
      </c>
    </row>
    <row r="334" spans="1:9" ht="15" customHeight="1" x14ac:dyDescent="0.15">
      <c r="A334" s="6"/>
      <c r="D334" t="s">
        <v>90</v>
      </c>
      <c r="E334" t="str">
        <f>E154&amp;".179"</f>
        <v>7.179</v>
      </c>
      <c r="F334" t="s">
        <v>2193</v>
      </c>
      <c r="G334" t="s">
        <v>1088</v>
      </c>
      <c r="I334">
        <v>1.548</v>
      </c>
    </row>
    <row r="335" spans="1:9" ht="15" customHeight="1" x14ac:dyDescent="0.15">
      <c r="A335" s="6"/>
      <c r="D335" t="s">
        <v>90</v>
      </c>
      <c r="E335" t="str">
        <f>E154&amp;".180"</f>
        <v>7.180</v>
      </c>
      <c r="F335" t="s">
        <v>2194</v>
      </c>
      <c r="G335" t="s">
        <v>1088</v>
      </c>
      <c r="I335">
        <v>0.51600000000000001</v>
      </c>
    </row>
    <row r="336" spans="1:9" ht="15" customHeight="1" x14ac:dyDescent="0.15">
      <c r="A336" s="6"/>
      <c r="D336" t="s">
        <v>90</v>
      </c>
      <c r="E336" t="str">
        <f>E154&amp;".181"</f>
        <v>7.181</v>
      </c>
      <c r="F336" t="s">
        <v>2195</v>
      </c>
      <c r="G336" t="s">
        <v>1088</v>
      </c>
      <c r="I336">
        <v>0.68799999999999994</v>
      </c>
    </row>
    <row r="337" spans="1:9" ht="15" customHeight="1" x14ac:dyDescent="0.15">
      <c r="A337" s="6"/>
      <c r="D337" t="s">
        <v>90</v>
      </c>
      <c r="E337" t="str">
        <f>E154&amp;".182"</f>
        <v>7.182</v>
      </c>
      <c r="F337" t="s">
        <v>2196</v>
      </c>
      <c r="G337" t="s">
        <v>1088</v>
      </c>
      <c r="I337">
        <v>0.24199999999999999</v>
      </c>
    </row>
    <row r="338" spans="1:9" ht="15" customHeight="1" x14ac:dyDescent="0.15">
      <c r="A338" s="6"/>
      <c r="D338" t="s">
        <v>90</v>
      </c>
      <c r="E338" t="str">
        <f>E154&amp;".183"</f>
        <v>7.183</v>
      </c>
      <c r="F338" t="s">
        <v>2197</v>
      </c>
      <c r="G338" t="s">
        <v>1088</v>
      </c>
      <c r="I338">
        <v>0.13800000000000001</v>
      </c>
    </row>
    <row r="339" spans="1:9" ht="15" customHeight="1" x14ac:dyDescent="0.15">
      <c r="A339" s="6"/>
      <c r="D339" t="s">
        <v>90</v>
      </c>
      <c r="E339" t="str">
        <f>E154&amp;".184"</f>
        <v>7.184</v>
      </c>
      <c r="F339" t="s">
        <v>2198</v>
      </c>
      <c r="G339" t="s">
        <v>1088</v>
      </c>
      <c r="I339">
        <v>0.24099999999999999</v>
      </c>
    </row>
    <row r="340" spans="1:9" ht="15" customHeight="1" x14ac:dyDescent="0.15">
      <c r="A340" s="6"/>
      <c r="D340" t="s">
        <v>90</v>
      </c>
      <c r="E340" t="str">
        <f>E154&amp;".185"</f>
        <v>7.185</v>
      </c>
      <c r="F340" t="s">
        <v>2199</v>
      </c>
      <c r="G340" t="s">
        <v>1088</v>
      </c>
      <c r="I340">
        <v>0.24199999999999999</v>
      </c>
    </row>
    <row r="341" spans="1:9" ht="15" customHeight="1" x14ac:dyDescent="0.15">
      <c r="A341" s="6"/>
      <c r="D341" t="s">
        <v>90</v>
      </c>
      <c r="E341" t="str">
        <f>E154&amp;".186"</f>
        <v>7.186</v>
      </c>
      <c r="F341" t="s">
        <v>2200</v>
      </c>
      <c r="G341" t="s">
        <v>1088</v>
      </c>
      <c r="I341">
        <v>0.31</v>
      </c>
    </row>
    <row r="342" spans="1:9" ht="15" customHeight="1" x14ac:dyDescent="0.15">
      <c r="A342" s="6"/>
      <c r="D342" t="s">
        <v>90</v>
      </c>
      <c r="E342" t="str">
        <f>E154&amp;".187"</f>
        <v>7.187</v>
      </c>
      <c r="F342" t="s">
        <v>2201</v>
      </c>
      <c r="G342" t="s">
        <v>1088</v>
      </c>
      <c r="I342">
        <v>0.13800000000000001</v>
      </c>
    </row>
    <row r="343" spans="1:9" ht="15" customHeight="1" x14ac:dyDescent="0.15">
      <c r="A343" s="6"/>
      <c r="D343" t="s">
        <v>90</v>
      </c>
      <c r="E343" t="str">
        <f>E154&amp;".188"</f>
        <v>7.188</v>
      </c>
      <c r="F343" t="s">
        <v>2202</v>
      </c>
      <c r="G343" t="s">
        <v>1088</v>
      </c>
      <c r="I343">
        <v>0.31</v>
      </c>
    </row>
    <row r="344" spans="1:9" ht="15" customHeight="1" x14ac:dyDescent="0.15">
      <c r="A344" s="6"/>
      <c r="D344" t="s">
        <v>90</v>
      </c>
      <c r="E344" t="str">
        <f>E154&amp;".189"</f>
        <v>7.189</v>
      </c>
      <c r="F344" t="s">
        <v>2203</v>
      </c>
      <c r="G344" t="s">
        <v>1088</v>
      </c>
      <c r="I344">
        <v>0.13800000000000001</v>
      </c>
    </row>
    <row r="345" spans="1:9" ht="15" customHeight="1" x14ac:dyDescent="0.15">
      <c r="A345" s="6"/>
      <c r="D345" t="s">
        <v>90</v>
      </c>
      <c r="E345" t="str">
        <f>E154&amp;".190"</f>
        <v>7.190</v>
      </c>
      <c r="F345" t="s">
        <v>2204</v>
      </c>
      <c r="G345" t="s">
        <v>1088</v>
      </c>
      <c r="I345">
        <v>1.032</v>
      </c>
    </row>
    <row r="346" spans="1:9" ht="15" customHeight="1" x14ac:dyDescent="0.15">
      <c r="A346" s="6"/>
      <c r="D346" t="s">
        <v>90</v>
      </c>
      <c r="E346" t="str">
        <f>E154&amp;".191"</f>
        <v>7.191</v>
      </c>
      <c r="F346" t="s">
        <v>2205</v>
      </c>
      <c r="G346" t="s">
        <v>1088</v>
      </c>
      <c r="I346">
        <v>0.24199999999999999</v>
      </c>
    </row>
    <row r="347" spans="1:9" ht="15" customHeight="1" x14ac:dyDescent="0.15">
      <c r="A347" s="6"/>
      <c r="D347" t="s">
        <v>90</v>
      </c>
      <c r="E347" t="str">
        <f>E154&amp;".192"</f>
        <v>7.192</v>
      </c>
      <c r="F347" t="s">
        <v>2206</v>
      </c>
      <c r="G347" t="s">
        <v>1088</v>
      </c>
      <c r="I347">
        <v>18</v>
      </c>
    </row>
    <row r="348" spans="1:9" ht="15" customHeight="1" x14ac:dyDescent="0.15">
      <c r="A348" s="6"/>
      <c r="D348" t="s">
        <v>90</v>
      </c>
      <c r="E348" t="str">
        <f>E154&amp;".193"</f>
        <v>7.193</v>
      </c>
      <c r="F348" t="s">
        <v>2207</v>
      </c>
      <c r="G348" t="s">
        <v>1088</v>
      </c>
      <c r="I348">
        <v>10.199999999999999</v>
      </c>
    </row>
    <row r="349" spans="1:9" ht="15" customHeight="1" x14ac:dyDescent="0.15">
      <c r="A349" s="6"/>
      <c r="D349" t="s">
        <v>90</v>
      </c>
      <c r="E349" t="str">
        <f>E154&amp;".194"</f>
        <v>7.194</v>
      </c>
      <c r="F349" t="s">
        <v>2208</v>
      </c>
      <c r="G349" t="s">
        <v>1088</v>
      </c>
      <c r="I349">
        <v>0.68799999999999994</v>
      </c>
    </row>
    <row r="350" spans="1:9" ht="15" customHeight="1" x14ac:dyDescent="0.15">
      <c r="A350" s="6"/>
      <c r="D350" t="s">
        <v>90</v>
      </c>
      <c r="E350" t="str">
        <f>E154&amp;".195"</f>
        <v>7.195</v>
      </c>
      <c r="F350" t="s">
        <v>2209</v>
      </c>
      <c r="G350" t="s">
        <v>1088</v>
      </c>
      <c r="I350">
        <v>2.82</v>
      </c>
    </row>
    <row r="351" spans="1:9" ht="15" customHeight="1" x14ac:dyDescent="0.15">
      <c r="A351" s="6"/>
      <c r="D351" t="s">
        <v>90</v>
      </c>
      <c r="E351" t="str">
        <f>E154&amp;".196"</f>
        <v>7.196</v>
      </c>
      <c r="F351" t="s">
        <v>2210</v>
      </c>
      <c r="G351" t="s">
        <v>1088</v>
      </c>
      <c r="I351">
        <v>0.309</v>
      </c>
    </row>
    <row r="352" spans="1:9" ht="15" customHeight="1" x14ac:dyDescent="0.15">
      <c r="A352" s="6"/>
      <c r="D352" t="s">
        <v>90</v>
      </c>
      <c r="E352" t="str">
        <f>E154&amp;".197"</f>
        <v>7.197</v>
      </c>
      <c r="F352" t="s">
        <v>2211</v>
      </c>
      <c r="G352" t="s">
        <v>1088</v>
      </c>
      <c r="I352">
        <v>1.032</v>
      </c>
    </row>
    <row r="353" spans="1:9" ht="15" customHeight="1" x14ac:dyDescent="0.15">
      <c r="A353" s="6"/>
      <c r="D353" t="s">
        <v>90</v>
      </c>
      <c r="E353" t="str">
        <f>E154&amp;".198"</f>
        <v>7.198</v>
      </c>
      <c r="F353" t="s">
        <v>2212</v>
      </c>
      <c r="G353" t="s">
        <v>1088</v>
      </c>
      <c r="I353">
        <v>0.68799999999999994</v>
      </c>
    </row>
    <row r="354" spans="1:9" ht="15" customHeight="1" x14ac:dyDescent="0.15">
      <c r="A354" s="6"/>
      <c r="D354" t="s">
        <v>90</v>
      </c>
      <c r="E354" t="str">
        <f>E154&amp;".199"</f>
        <v>7.199</v>
      </c>
      <c r="F354" t="s">
        <v>2213</v>
      </c>
      <c r="G354" t="s">
        <v>1088</v>
      </c>
      <c r="I354">
        <v>15.48</v>
      </c>
    </row>
    <row r="355" spans="1:9" ht="15" customHeight="1" x14ac:dyDescent="0.15">
      <c r="A355" s="6"/>
      <c r="D355" t="s">
        <v>90</v>
      </c>
      <c r="E355" t="str">
        <f>E154&amp;".200"</f>
        <v>7.200</v>
      </c>
      <c r="F355" t="s">
        <v>2214</v>
      </c>
      <c r="G355" t="s">
        <v>1088</v>
      </c>
      <c r="I355">
        <v>0.24099999999999999</v>
      </c>
    </row>
    <row r="356" spans="1:9" ht="15" customHeight="1" x14ac:dyDescent="0.15">
      <c r="A356" s="6"/>
      <c r="D356" t="s">
        <v>90</v>
      </c>
      <c r="E356" t="str">
        <f>E154&amp;".201"</f>
        <v>7.201</v>
      </c>
      <c r="F356" t="s">
        <v>2215</v>
      </c>
      <c r="G356" t="s">
        <v>1088</v>
      </c>
      <c r="I356">
        <v>1.032</v>
      </c>
    </row>
    <row r="357" spans="1:9" ht="15" customHeight="1" x14ac:dyDescent="0.15">
      <c r="A357" s="6"/>
      <c r="D357" t="s">
        <v>90</v>
      </c>
      <c r="E357" t="str">
        <f>E154&amp;".202"</f>
        <v>7.202</v>
      </c>
      <c r="F357" t="s">
        <v>2216</v>
      </c>
      <c r="G357" t="s">
        <v>1088</v>
      </c>
      <c r="I357">
        <v>16.68</v>
      </c>
    </row>
    <row r="358" spans="1:9" ht="15" customHeight="1" x14ac:dyDescent="0.15">
      <c r="A358" s="6"/>
      <c r="D358" t="s">
        <v>90</v>
      </c>
      <c r="E358" t="str">
        <f>E154&amp;".203"</f>
        <v>7.203</v>
      </c>
      <c r="F358" t="s">
        <v>2217</v>
      </c>
      <c r="G358" t="s">
        <v>1088</v>
      </c>
      <c r="I358">
        <v>0.436</v>
      </c>
    </row>
    <row r="359" spans="1:9" ht="15" customHeight="1" x14ac:dyDescent="0.15">
      <c r="A359" s="6"/>
      <c r="D359" t="s">
        <v>90</v>
      </c>
      <c r="E359" t="str">
        <f>E154&amp;".204"</f>
        <v>7.204</v>
      </c>
      <c r="F359" t="s">
        <v>2218</v>
      </c>
      <c r="G359" t="s">
        <v>1088</v>
      </c>
      <c r="I359">
        <v>0.51600000000000001</v>
      </c>
    </row>
    <row r="360" spans="1:9" ht="15" customHeight="1" x14ac:dyDescent="0.15">
      <c r="A360" s="6"/>
      <c r="D360" t="s">
        <v>90</v>
      </c>
      <c r="E360" t="str">
        <f>E154&amp;".205"</f>
        <v>7.205</v>
      </c>
      <c r="F360" t="s">
        <v>2219</v>
      </c>
      <c r="G360" t="s">
        <v>1088</v>
      </c>
      <c r="I360">
        <v>1.4239999999999999</v>
      </c>
    </row>
    <row r="361" spans="1:9" ht="15" customHeight="1" x14ac:dyDescent="0.15">
      <c r="A361" s="6"/>
      <c r="D361" t="s">
        <v>90</v>
      </c>
      <c r="E361" t="str">
        <f>E154&amp;".206"</f>
        <v>7.206</v>
      </c>
      <c r="F361" t="s">
        <v>2220</v>
      </c>
      <c r="G361" t="s">
        <v>1088</v>
      </c>
      <c r="I361">
        <v>1.032</v>
      </c>
    </row>
    <row r="362" spans="1:9" ht="15" customHeight="1" x14ac:dyDescent="0.15">
      <c r="A362" s="6"/>
      <c r="D362" t="s">
        <v>90</v>
      </c>
      <c r="E362" t="str">
        <f>E154&amp;".207"</f>
        <v>7.207</v>
      </c>
      <c r="F362" t="s">
        <v>2221</v>
      </c>
      <c r="G362" t="s">
        <v>1088</v>
      </c>
      <c r="I362">
        <v>2.0640000000000001</v>
      </c>
    </row>
    <row r="363" spans="1:9" ht="15" customHeight="1" x14ac:dyDescent="0.15">
      <c r="A363" s="6"/>
      <c r="D363" t="s">
        <v>90</v>
      </c>
      <c r="E363" t="str">
        <f>E154&amp;".208"</f>
        <v>7.208</v>
      </c>
      <c r="F363" t="s">
        <v>2222</v>
      </c>
      <c r="G363" t="s">
        <v>1088</v>
      </c>
      <c r="I363">
        <v>1.968</v>
      </c>
    </row>
    <row r="364" spans="1:9" ht="15" customHeight="1" x14ac:dyDescent="0.15">
      <c r="A364" s="6"/>
      <c r="D364" t="s">
        <v>90</v>
      </c>
      <c r="E364" t="str">
        <f>E154&amp;".209"</f>
        <v>7.209</v>
      </c>
      <c r="F364" t="s">
        <v>2223</v>
      </c>
      <c r="G364" t="s">
        <v>1088</v>
      </c>
      <c r="I364">
        <v>3.9609999999999999</v>
      </c>
    </row>
    <row r="365" spans="1:9" ht="15" customHeight="1" x14ac:dyDescent="0.15">
      <c r="A365" s="6"/>
      <c r="D365" t="s">
        <v>90</v>
      </c>
      <c r="E365" t="str">
        <f>E154&amp;".210"</f>
        <v>7.210</v>
      </c>
      <c r="F365" t="s">
        <v>2224</v>
      </c>
      <c r="G365" t="s">
        <v>1088</v>
      </c>
      <c r="I365">
        <v>0.46</v>
      </c>
    </row>
    <row r="366" spans="1:9" ht="15" customHeight="1" x14ac:dyDescent="0.15">
      <c r="A366" s="6"/>
      <c r="D366" t="s">
        <v>90</v>
      </c>
      <c r="E366" t="str">
        <f>E154&amp;".211"</f>
        <v>7.211</v>
      </c>
      <c r="F366" t="s">
        <v>2225</v>
      </c>
      <c r="G366" t="s">
        <v>1088</v>
      </c>
      <c r="I366">
        <v>0.51600000000000001</v>
      </c>
    </row>
    <row r="367" spans="1:9" ht="15" customHeight="1" x14ac:dyDescent="0.15">
      <c r="A367" s="6"/>
      <c r="D367" t="s">
        <v>90</v>
      </c>
      <c r="E367" t="str">
        <f>E154&amp;".212"</f>
        <v>7.212</v>
      </c>
      <c r="F367" t="s">
        <v>2226</v>
      </c>
      <c r="G367" t="s">
        <v>1088</v>
      </c>
      <c r="I367">
        <v>8.3000000000000004E-2</v>
      </c>
    </row>
    <row r="368" spans="1:9" ht="15" customHeight="1" x14ac:dyDescent="0.15">
      <c r="A368" s="6"/>
      <c r="D368" t="s">
        <v>90</v>
      </c>
      <c r="E368" t="str">
        <f>E154&amp;".213"</f>
        <v>7.213</v>
      </c>
      <c r="F368" t="s">
        <v>2227</v>
      </c>
      <c r="G368" t="s">
        <v>1088</v>
      </c>
      <c r="I368">
        <v>0.19</v>
      </c>
    </row>
    <row r="369" spans="1:9" ht="15" customHeight="1" x14ac:dyDescent="0.15">
      <c r="A369" s="6"/>
      <c r="D369" t="s">
        <v>90</v>
      </c>
      <c r="E369" t="str">
        <f>E154&amp;".214"</f>
        <v>7.214</v>
      </c>
      <c r="F369" t="s">
        <v>2228</v>
      </c>
      <c r="G369" t="s">
        <v>1088</v>
      </c>
      <c r="I369">
        <v>0.7</v>
      </c>
    </row>
    <row r="370" spans="1:9" ht="15" customHeight="1" x14ac:dyDescent="0.15">
      <c r="A370" s="6"/>
      <c r="D370" t="s">
        <v>90</v>
      </c>
      <c r="E370" t="str">
        <f>E154&amp;".215"</f>
        <v>7.215</v>
      </c>
      <c r="F370" t="s">
        <v>2229</v>
      </c>
      <c r="G370" t="s">
        <v>1088</v>
      </c>
      <c r="I370">
        <v>0.69399999999999995</v>
      </c>
    </row>
    <row r="371" spans="1:9" ht="15" customHeight="1" x14ac:dyDescent="0.15">
      <c r="A371" s="6"/>
      <c r="D371" t="s">
        <v>90</v>
      </c>
      <c r="E371" t="str">
        <f>E154&amp;".216"</f>
        <v>7.216</v>
      </c>
      <c r="F371" t="s">
        <v>2230</v>
      </c>
      <c r="G371" t="s">
        <v>1088</v>
      </c>
      <c r="I371">
        <v>1.17</v>
      </c>
    </row>
    <row r="372" spans="1:9" ht="15" customHeight="1" x14ac:dyDescent="0.15">
      <c r="A372" s="6"/>
      <c r="D372" t="s">
        <v>90</v>
      </c>
      <c r="E372" t="str">
        <f>E154&amp;".217"</f>
        <v>7.217</v>
      </c>
      <c r="F372" t="s">
        <v>2231</v>
      </c>
      <c r="G372" t="s">
        <v>1088</v>
      </c>
      <c r="I372">
        <v>0.309</v>
      </c>
    </row>
    <row r="373" spans="1:9" ht="15" customHeight="1" x14ac:dyDescent="0.15">
      <c r="A373" s="6"/>
      <c r="D373" t="s">
        <v>90</v>
      </c>
      <c r="E373" t="str">
        <f>E154&amp;".218"</f>
        <v>7.218</v>
      </c>
      <c r="F373" t="s">
        <v>2232</v>
      </c>
      <c r="G373" t="s">
        <v>1088</v>
      </c>
      <c r="I373">
        <v>0.309</v>
      </c>
    </row>
    <row r="374" spans="1:9" ht="15" customHeight="1" x14ac:dyDescent="0.15">
      <c r="A374" s="6"/>
      <c r="D374" t="s">
        <v>90</v>
      </c>
      <c r="E374" t="str">
        <f>E154&amp;".219"</f>
        <v>7.219</v>
      </c>
      <c r="F374" t="s">
        <v>2233</v>
      </c>
      <c r="G374" t="s">
        <v>1088</v>
      </c>
      <c r="I374">
        <v>2.15</v>
      </c>
    </row>
    <row r="375" spans="1:9" ht="15" customHeight="1" x14ac:dyDescent="0.15">
      <c r="A375" s="6"/>
      <c r="D375" t="s">
        <v>90</v>
      </c>
      <c r="E375" t="str">
        <f>E154&amp;".220"</f>
        <v>7.220</v>
      </c>
      <c r="F375" t="s">
        <v>2234</v>
      </c>
      <c r="G375" t="s">
        <v>1088</v>
      </c>
      <c r="I375">
        <v>1.22</v>
      </c>
    </row>
    <row r="376" spans="1:9" ht="15" customHeight="1" x14ac:dyDescent="0.15">
      <c r="A376" s="6"/>
      <c r="D376" t="s">
        <v>90</v>
      </c>
      <c r="E376" t="str">
        <f>E154&amp;".221"</f>
        <v>7.221</v>
      </c>
      <c r="F376" t="s">
        <v>2235</v>
      </c>
      <c r="G376" t="s">
        <v>1088</v>
      </c>
      <c r="I376">
        <v>1.02</v>
      </c>
    </row>
    <row r="377" spans="1:9" ht="15" customHeight="1" x14ac:dyDescent="0.15">
      <c r="A377" s="6"/>
      <c r="D377" t="s">
        <v>90</v>
      </c>
      <c r="E377" t="str">
        <f>E154&amp;".222"</f>
        <v>7.222</v>
      </c>
      <c r="F377" t="s">
        <v>2236</v>
      </c>
      <c r="G377" t="s">
        <v>1088</v>
      </c>
      <c r="I377">
        <v>0.51600000000000001</v>
      </c>
    </row>
    <row r="378" spans="1:9" ht="15" customHeight="1" x14ac:dyDescent="0.15">
      <c r="A378" s="6"/>
      <c r="D378" t="s">
        <v>90</v>
      </c>
      <c r="E378" t="str">
        <f>E154&amp;".223"</f>
        <v>7.223</v>
      </c>
      <c r="F378" t="s">
        <v>2237</v>
      </c>
      <c r="G378" t="s">
        <v>1088</v>
      </c>
      <c r="I378">
        <v>0.55000000000000004</v>
      </c>
    </row>
    <row r="379" spans="1:9" ht="15" customHeight="1" x14ac:dyDescent="0.15">
      <c r="A379" s="6"/>
      <c r="D379" t="s">
        <v>90</v>
      </c>
      <c r="E379" t="str">
        <f>E154&amp;".224"</f>
        <v>7.224</v>
      </c>
      <c r="F379" t="s">
        <v>2238</v>
      </c>
      <c r="G379" t="s">
        <v>1088</v>
      </c>
      <c r="I379">
        <v>0.51600000000000001</v>
      </c>
    </row>
    <row r="380" spans="1:9" ht="15" customHeight="1" x14ac:dyDescent="0.15">
      <c r="A380" s="6"/>
      <c r="D380" t="s">
        <v>90</v>
      </c>
      <c r="E380" t="str">
        <f>E154&amp;".225"</f>
        <v>7.225</v>
      </c>
      <c r="F380" t="s">
        <v>2239</v>
      </c>
      <c r="G380" t="s">
        <v>1088</v>
      </c>
      <c r="I380">
        <v>0.43</v>
      </c>
    </row>
    <row r="381" spans="1:9" ht="15" customHeight="1" x14ac:dyDescent="0.15">
      <c r="A381" s="6"/>
      <c r="D381" t="s">
        <v>90</v>
      </c>
      <c r="E381" t="str">
        <f>E154&amp;".226"</f>
        <v>7.226</v>
      </c>
      <c r="F381" t="s">
        <v>2240</v>
      </c>
      <c r="G381" t="s">
        <v>1088</v>
      </c>
      <c r="I381">
        <v>2.16</v>
      </c>
    </row>
    <row r="382" spans="1:9" ht="15" customHeight="1" x14ac:dyDescent="0.15">
      <c r="A382" s="6"/>
      <c r="D382" t="s">
        <v>90</v>
      </c>
      <c r="E382" t="str">
        <f>E154&amp;".227"</f>
        <v>7.227</v>
      </c>
      <c r="F382" t="s">
        <v>2241</v>
      </c>
      <c r="G382" t="s">
        <v>1088</v>
      </c>
      <c r="I382">
        <v>5.16</v>
      </c>
    </row>
    <row r="383" spans="1:9" ht="15" customHeight="1" x14ac:dyDescent="0.15">
      <c r="A383" s="6"/>
      <c r="D383" t="s">
        <v>90</v>
      </c>
      <c r="E383" t="str">
        <f>E154&amp;".228"</f>
        <v>7.228</v>
      </c>
      <c r="F383" t="s">
        <v>2242</v>
      </c>
      <c r="G383" t="s">
        <v>1088</v>
      </c>
      <c r="I383">
        <v>1.4319999999999999</v>
      </c>
    </row>
    <row r="384" spans="1:9" ht="15" customHeight="1" x14ac:dyDescent="0.15">
      <c r="A384" s="6"/>
      <c r="D384" t="s">
        <v>90</v>
      </c>
      <c r="E384" t="str">
        <f>E154&amp;".229"</f>
        <v>7.229</v>
      </c>
      <c r="F384" t="s">
        <v>2243</v>
      </c>
      <c r="G384" t="s">
        <v>1088</v>
      </c>
      <c r="I384">
        <v>0.309</v>
      </c>
    </row>
    <row r="385" spans="1:9" ht="15" customHeight="1" x14ac:dyDescent="0.15">
      <c r="A385" s="6"/>
      <c r="D385" t="s">
        <v>90</v>
      </c>
      <c r="E385" t="str">
        <f>E154&amp;".230"</f>
        <v>7.230</v>
      </c>
      <c r="F385" t="s">
        <v>2244</v>
      </c>
      <c r="G385" t="s">
        <v>1088</v>
      </c>
      <c r="I385">
        <v>3.45</v>
      </c>
    </row>
    <row r="386" spans="1:9" ht="15" customHeight="1" x14ac:dyDescent="0.15">
      <c r="A386" s="6"/>
      <c r="D386" t="s">
        <v>90</v>
      </c>
      <c r="E386" t="str">
        <f>E154&amp;".231"</f>
        <v>7.231</v>
      </c>
      <c r="F386" t="s">
        <v>2245</v>
      </c>
      <c r="G386" t="s">
        <v>1088</v>
      </c>
      <c r="I386">
        <v>0.68799999999999994</v>
      </c>
    </row>
    <row r="387" spans="1:9" ht="15" customHeight="1" x14ac:dyDescent="0.15">
      <c r="A387" s="6"/>
      <c r="D387" t="s">
        <v>90</v>
      </c>
      <c r="E387" t="str">
        <f>E154&amp;".232"</f>
        <v>7.232</v>
      </c>
      <c r="F387" t="s">
        <v>2246</v>
      </c>
      <c r="G387" t="s">
        <v>1088</v>
      </c>
      <c r="I387">
        <v>0.17199999999999999</v>
      </c>
    </row>
    <row r="388" spans="1:9" ht="15" customHeight="1" x14ac:dyDescent="0.15">
      <c r="A388" s="6"/>
      <c r="D388" t="s">
        <v>90</v>
      </c>
      <c r="E388" t="str">
        <f>E154&amp;".233"</f>
        <v>7.233</v>
      </c>
      <c r="F388" t="s">
        <v>2247</v>
      </c>
      <c r="G388" t="s">
        <v>1088</v>
      </c>
      <c r="I388">
        <v>0.38</v>
      </c>
    </row>
    <row r="389" spans="1:9" ht="15" customHeight="1" x14ac:dyDescent="0.15">
      <c r="A389" s="6"/>
      <c r="D389" t="s">
        <v>90</v>
      </c>
      <c r="E389" t="str">
        <f>E154&amp;".234"</f>
        <v>7.234</v>
      </c>
      <c r="F389" t="s">
        <v>2248</v>
      </c>
      <c r="G389" t="s">
        <v>1088</v>
      </c>
      <c r="I389">
        <v>0.55500000000000005</v>
      </c>
    </row>
    <row r="390" spans="1:9" ht="15" customHeight="1" x14ac:dyDescent="0.15">
      <c r="A390" s="6"/>
      <c r="D390" t="s">
        <v>90</v>
      </c>
      <c r="E390" t="str">
        <f>E154&amp;".235"</f>
        <v>7.235</v>
      </c>
      <c r="F390" t="s">
        <v>2249</v>
      </c>
      <c r="G390" t="s">
        <v>1088</v>
      </c>
      <c r="I390">
        <v>0.13800000000000001</v>
      </c>
    </row>
    <row r="391" spans="1:9" ht="15" customHeight="1" x14ac:dyDescent="0.15">
      <c r="A391" s="6"/>
      <c r="D391" t="s">
        <v>90</v>
      </c>
      <c r="E391" t="str">
        <f>E154&amp;".236"</f>
        <v>7.236</v>
      </c>
      <c r="F391" t="s">
        <v>2250</v>
      </c>
      <c r="G391" t="s">
        <v>1088</v>
      </c>
      <c r="I391">
        <v>0.309</v>
      </c>
    </row>
    <row r="392" spans="1:9" ht="15" customHeight="1" x14ac:dyDescent="0.15">
      <c r="A392" s="6"/>
      <c r="D392" t="s">
        <v>90</v>
      </c>
      <c r="E392" t="str">
        <f>E154&amp;".237"</f>
        <v>7.237</v>
      </c>
      <c r="F392" t="s">
        <v>2251</v>
      </c>
      <c r="G392" t="s">
        <v>1088</v>
      </c>
      <c r="I392">
        <v>0.43</v>
      </c>
    </row>
    <row r="393" spans="1:9" ht="15" customHeight="1" x14ac:dyDescent="0.15">
      <c r="A393" s="6"/>
      <c r="D393" t="s">
        <v>90</v>
      </c>
      <c r="E393" t="str">
        <f>E154&amp;".238"</f>
        <v>7.238</v>
      </c>
      <c r="F393" t="s">
        <v>2252</v>
      </c>
      <c r="G393" t="s">
        <v>1088</v>
      </c>
      <c r="I393">
        <v>0.36</v>
      </c>
    </row>
    <row r="394" spans="1:9" ht="15" customHeight="1" x14ac:dyDescent="0.15">
      <c r="A394" s="6"/>
      <c r="D394" t="s">
        <v>90</v>
      </c>
      <c r="E394" t="str">
        <f>E154&amp;".239"</f>
        <v>7.239</v>
      </c>
      <c r="F394" t="s">
        <v>2253</v>
      </c>
      <c r="G394" t="s">
        <v>1088</v>
      </c>
      <c r="I394">
        <v>78</v>
      </c>
    </row>
    <row r="395" spans="1:9" ht="15" customHeight="1" x14ac:dyDescent="0.15">
      <c r="A395" s="6"/>
      <c r="D395" t="s">
        <v>90</v>
      </c>
      <c r="E395" t="str">
        <f>E154&amp;".240"</f>
        <v>7.240</v>
      </c>
      <c r="F395" t="s">
        <v>2254</v>
      </c>
      <c r="G395" t="s">
        <v>1088</v>
      </c>
      <c r="I395">
        <v>1.548</v>
      </c>
    </row>
    <row r="396" spans="1:9" ht="15" customHeight="1" x14ac:dyDescent="0.15">
      <c r="A396" s="6"/>
      <c r="D396" t="s">
        <v>90</v>
      </c>
      <c r="E396" t="str">
        <f>E154&amp;".241"</f>
        <v>7.241</v>
      </c>
      <c r="F396" t="s">
        <v>2255</v>
      </c>
      <c r="G396" t="s">
        <v>1088</v>
      </c>
      <c r="I396">
        <v>10.199999999999999</v>
      </c>
    </row>
    <row r="397" spans="1:9" ht="15" customHeight="1" x14ac:dyDescent="0.15">
      <c r="A397" s="6"/>
      <c r="D397" t="s">
        <v>90</v>
      </c>
      <c r="E397" t="str">
        <f>E154&amp;".242"</f>
        <v>7.242</v>
      </c>
      <c r="F397" t="s">
        <v>2256</v>
      </c>
      <c r="G397" t="s">
        <v>1088</v>
      </c>
      <c r="I397">
        <v>7.2</v>
      </c>
    </row>
    <row r="398" spans="1:9" ht="15" customHeight="1" x14ac:dyDescent="0.15">
      <c r="A398" s="6"/>
      <c r="D398" t="s">
        <v>90</v>
      </c>
      <c r="E398" t="str">
        <f>E154&amp;".243"</f>
        <v>7.243</v>
      </c>
      <c r="F398" t="s">
        <v>2257</v>
      </c>
      <c r="G398" t="s">
        <v>1088</v>
      </c>
      <c r="I398">
        <v>0.68799999999999994</v>
      </c>
    </row>
    <row r="399" spans="1:9" ht="15" customHeight="1" x14ac:dyDescent="0.15">
      <c r="A399" s="6"/>
      <c r="D399" t="s">
        <v>90</v>
      </c>
      <c r="E399" t="str">
        <f>E154&amp;".244"</f>
        <v>7.244</v>
      </c>
      <c r="F399" t="s">
        <v>2258</v>
      </c>
      <c r="G399" t="s">
        <v>1088</v>
      </c>
      <c r="I399">
        <v>3.8</v>
      </c>
    </row>
    <row r="400" spans="1:9" ht="15" customHeight="1" x14ac:dyDescent="0.15">
      <c r="A400" s="6"/>
      <c r="D400" t="s">
        <v>90</v>
      </c>
      <c r="E400" t="str">
        <f>E154&amp;".245"</f>
        <v>7.245</v>
      </c>
      <c r="F400" t="s">
        <v>2259</v>
      </c>
      <c r="G400" t="s">
        <v>1088</v>
      </c>
      <c r="I400">
        <v>2.6</v>
      </c>
    </row>
    <row r="401" spans="1:9" ht="15" customHeight="1" x14ac:dyDescent="0.15">
      <c r="A401" s="6"/>
      <c r="D401" t="s">
        <v>90</v>
      </c>
      <c r="E401" t="str">
        <f>E154&amp;".246"</f>
        <v>7.246</v>
      </c>
      <c r="F401" t="s">
        <v>2260</v>
      </c>
      <c r="G401" t="s">
        <v>1088</v>
      </c>
      <c r="I401">
        <v>3.9</v>
      </c>
    </row>
    <row r="402" spans="1:9" ht="15" customHeight="1" x14ac:dyDescent="0.15">
      <c r="A402" s="6"/>
      <c r="D402" t="s">
        <v>90</v>
      </c>
      <c r="E402" t="str">
        <f>E154&amp;".247"</f>
        <v>7.247</v>
      </c>
      <c r="F402" t="s">
        <v>2261</v>
      </c>
      <c r="G402" t="s">
        <v>1088</v>
      </c>
      <c r="I402">
        <v>1.032</v>
      </c>
    </row>
    <row r="403" spans="1:9" ht="15" customHeight="1" x14ac:dyDescent="0.15">
      <c r="A403" s="6"/>
      <c r="D403" t="s">
        <v>90</v>
      </c>
      <c r="E403" t="str">
        <f>E154&amp;".248"</f>
        <v>7.248</v>
      </c>
      <c r="F403" t="s">
        <v>2262</v>
      </c>
      <c r="G403" t="s">
        <v>1088</v>
      </c>
      <c r="I403">
        <v>0.7</v>
      </c>
    </row>
    <row r="404" spans="1:9" ht="15" customHeight="1" x14ac:dyDescent="0.15">
      <c r="A404" s="6"/>
      <c r="D404" t="s">
        <v>90</v>
      </c>
      <c r="E404" t="str">
        <f>E154&amp;".249"</f>
        <v>7.249</v>
      </c>
      <c r="F404" t="s">
        <v>2263</v>
      </c>
      <c r="G404" t="s">
        <v>1088</v>
      </c>
      <c r="I404">
        <v>0.51600000000000001</v>
      </c>
    </row>
    <row r="405" spans="1:9" ht="15" customHeight="1" x14ac:dyDescent="0.15">
      <c r="A405" s="6"/>
      <c r="D405" t="s">
        <v>90</v>
      </c>
      <c r="E405" t="str">
        <f>E154&amp;".250"</f>
        <v>7.250</v>
      </c>
      <c r="F405" t="s">
        <v>2264</v>
      </c>
      <c r="G405" t="s">
        <v>1088</v>
      </c>
      <c r="I405">
        <v>1.032</v>
      </c>
    </row>
    <row r="406" spans="1:9" ht="15" customHeight="1" x14ac:dyDescent="0.15">
      <c r="A406" s="6"/>
      <c r="D406" t="s">
        <v>90</v>
      </c>
      <c r="E406" t="str">
        <f>E154&amp;".251"</f>
        <v>7.251</v>
      </c>
      <c r="F406" t="s">
        <v>2265</v>
      </c>
      <c r="G406" t="s">
        <v>1088</v>
      </c>
      <c r="I406">
        <v>0.31</v>
      </c>
    </row>
    <row r="407" spans="1:9" ht="15" customHeight="1" x14ac:dyDescent="0.15">
      <c r="A407" s="6"/>
      <c r="D407" t="s">
        <v>90</v>
      </c>
      <c r="E407" t="str">
        <f>E154&amp;".252"</f>
        <v>7.252</v>
      </c>
      <c r="F407" t="s">
        <v>2266</v>
      </c>
      <c r="G407" t="s">
        <v>1088</v>
      </c>
      <c r="I407">
        <v>0.24</v>
      </c>
    </row>
    <row r="408" spans="1:9" ht="15" customHeight="1" x14ac:dyDescent="0.15">
      <c r="A408" s="6"/>
      <c r="D408" t="s">
        <v>90</v>
      </c>
      <c r="E408" t="str">
        <f>E154&amp;".253"</f>
        <v>7.253</v>
      </c>
      <c r="F408" t="s">
        <v>2267</v>
      </c>
      <c r="G408" t="s">
        <v>1088</v>
      </c>
      <c r="I408">
        <v>0.13800000000000001</v>
      </c>
    </row>
    <row r="409" spans="1:9" ht="15" customHeight="1" x14ac:dyDescent="0.15">
      <c r="A409" s="6"/>
      <c r="D409" t="s">
        <v>90</v>
      </c>
      <c r="E409" t="str">
        <f>E154&amp;".254"</f>
        <v>7.254</v>
      </c>
      <c r="F409" t="s">
        <v>2268</v>
      </c>
      <c r="G409" t="s">
        <v>1088</v>
      </c>
      <c r="I409">
        <v>0.24</v>
      </c>
    </row>
    <row r="410" spans="1:9" ht="15" customHeight="1" x14ac:dyDescent="0.15">
      <c r="A410" s="6"/>
      <c r="D410" t="s">
        <v>90</v>
      </c>
      <c r="E410" t="str">
        <f>E154&amp;".255"</f>
        <v>7.255</v>
      </c>
      <c r="F410" t="s">
        <v>2269</v>
      </c>
      <c r="G410" t="s">
        <v>1088</v>
      </c>
      <c r="I410">
        <v>0.51600000000000001</v>
      </c>
    </row>
    <row r="411" spans="1:9" ht="15" customHeight="1" x14ac:dyDescent="0.15">
      <c r="A411" s="6"/>
      <c r="D411" t="s">
        <v>90</v>
      </c>
      <c r="E411" t="str">
        <f>E154&amp;".256"</f>
        <v>7.256</v>
      </c>
      <c r="F411" t="s">
        <v>2270</v>
      </c>
      <c r="G411" t="s">
        <v>1088</v>
      </c>
      <c r="I411">
        <v>0.7</v>
      </c>
    </row>
    <row r="412" spans="1:9" ht="15" customHeight="1" x14ac:dyDescent="0.15">
      <c r="A412" s="6"/>
      <c r="D412" t="s">
        <v>90</v>
      </c>
      <c r="E412" t="str">
        <f>E154&amp;".257"</f>
        <v>7.257</v>
      </c>
      <c r="F412" t="s">
        <v>2271</v>
      </c>
      <c r="G412" t="s">
        <v>1088</v>
      </c>
      <c r="I412">
        <v>0.7</v>
      </c>
    </row>
    <row r="413" spans="1:9" ht="15" customHeight="1" x14ac:dyDescent="0.15">
      <c r="A413" s="6"/>
      <c r="D413" t="s">
        <v>90</v>
      </c>
      <c r="E413" t="str">
        <f>E154&amp;".258"</f>
        <v>7.258</v>
      </c>
      <c r="F413" t="s">
        <v>2272</v>
      </c>
      <c r="G413" t="s">
        <v>1088</v>
      </c>
      <c r="I413">
        <v>0.68799999999999994</v>
      </c>
    </row>
    <row r="414" spans="1:9" ht="15" customHeight="1" x14ac:dyDescent="0.15">
      <c r="A414" s="6"/>
      <c r="D414" t="s">
        <v>90</v>
      </c>
      <c r="E414" t="str">
        <f>E154&amp;".259"</f>
        <v>7.259</v>
      </c>
      <c r="F414" t="s">
        <v>2273</v>
      </c>
      <c r="G414" t="s">
        <v>1088</v>
      </c>
      <c r="I414">
        <v>19.8</v>
      </c>
    </row>
    <row r="415" spans="1:9" ht="15" customHeight="1" x14ac:dyDescent="0.15">
      <c r="A415" s="6"/>
      <c r="D415" t="s">
        <v>90</v>
      </c>
      <c r="E415" t="str">
        <f>E154&amp;".260"</f>
        <v>7.260</v>
      </c>
      <c r="F415" t="s">
        <v>2274</v>
      </c>
      <c r="G415" t="s">
        <v>1088</v>
      </c>
      <c r="I415">
        <v>3.9</v>
      </c>
    </row>
    <row r="416" spans="1:9" ht="15" customHeight="1" x14ac:dyDescent="0.15">
      <c r="A416" s="6"/>
      <c r="D416" t="s">
        <v>90</v>
      </c>
      <c r="E416" t="str">
        <f>E154&amp;".261"</f>
        <v>7.261</v>
      </c>
      <c r="F416" t="s">
        <v>2275</v>
      </c>
      <c r="G416" t="s">
        <v>1088</v>
      </c>
      <c r="I416">
        <v>0.7</v>
      </c>
    </row>
    <row r="417" spans="1:9" ht="15" customHeight="1" x14ac:dyDescent="0.15">
      <c r="A417" s="6"/>
      <c r="D417" t="s">
        <v>90</v>
      </c>
      <c r="E417" t="str">
        <f>E154&amp;".262"</f>
        <v>7.262</v>
      </c>
      <c r="F417" t="s">
        <v>2276</v>
      </c>
      <c r="G417" t="s">
        <v>1088</v>
      </c>
      <c r="I417">
        <v>0.06</v>
      </c>
    </row>
    <row r="418" spans="1:9" ht="15" customHeight="1" x14ac:dyDescent="0.15">
      <c r="A418" s="6"/>
      <c r="D418" t="s">
        <v>90</v>
      </c>
      <c r="E418" t="str">
        <f>E154&amp;".263"</f>
        <v>7.263</v>
      </c>
      <c r="F418" t="s">
        <v>2277</v>
      </c>
      <c r="G418" t="s">
        <v>1088</v>
      </c>
      <c r="I418">
        <v>0.51600000000000001</v>
      </c>
    </row>
    <row r="419" spans="1:9" ht="15" customHeight="1" x14ac:dyDescent="0.15">
      <c r="A419" s="6"/>
      <c r="D419" t="s">
        <v>90</v>
      </c>
      <c r="E419" t="str">
        <f>E154&amp;".264"</f>
        <v>7.264</v>
      </c>
      <c r="F419" t="s">
        <v>2278</v>
      </c>
      <c r="G419" t="s">
        <v>1088</v>
      </c>
      <c r="I419">
        <v>0.7</v>
      </c>
    </row>
    <row r="420" spans="1:9" ht="15" customHeight="1" x14ac:dyDescent="0.15">
      <c r="A420" s="6"/>
      <c r="D420" t="s">
        <v>90</v>
      </c>
      <c r="E420" t="str">
        <f>E154&amp;".265"</f>
        <v>7.265</v>
      </c>
      <c r="F420" t="s">
        <v>2279</v>
      </c>
      <c r="G420" t="s">
        <v>1088</v>
      </c>
      <c r="I420">
        <v>0.51600000000000001</v>
      </c>
    </row>
    <row r="421" spans="1:9" ht="15" customHeight="1" x14ac:dyDescent="0.15">
      <c r="A421" s="6"/>
      <c r="D421" t="s">
        <v>90</v>
      </c>
      <c r="E421" t="str">
        <f>E154&amp;".266"</f>
        <v>7.266</v>
      </c>
      <c r="F421" t="s">
        <v>2280</v>
      </c>
      <c r="G421" t="s">
        <v>1088</v>
      </c>
      <c r="I421">
        <v>3.0960000000000001</v>
      </c>
    </row>
    <row r="422" spans="1:9" ht="15" customHeight="1" x14ac:dyDescent="0.15">
      <c r="A422" s="6"/>
      <c r="D422" t="s">
        <v>90</v>
      </c>
      <c r="E422" t="str">
        <f>E154&amp;".267"</f>
        <v>7.267</v>
      </c>
      <c r="F422" t="s">
        <v>2281</v>
      </c>
      <c r="G422" t="s">
        <v>1088</v>
      </c>
      <c r="I422">
        <v>0.7</v>
      </c>
    </row>
    <row r="423" spans="1:9" ht="15" customHeight="1" x14ac:dyDescent="0.15">
      <c r="A423" s="6"/>
      <c r="D423" t="s">
        <v>90</v>
      </c>
      <c r="E423" t="str">
        <f>E154&amp;".268"</f>
        <v>7.268</v>
      </c>
      <c r="F423" t="s">
        <v>2282</v>
      </c>
      <c r="G423" t="s">
        <v>1088</v>
      </c>
      <c r="I423">
        <v>30.8</v>
      </c>
    </row>
    <row r="424" spans="1:9" ht="15" customHeight="1" x14ac:dyDescent="0.15">
      <c r="A424" s="6"/>
      <c r="D424" t="s">
        <v>90</v>
      </c>
      <c r="E424" t="str">
        <f>E154&amp;".269"</f>
        <v>7.269</v>
      </c>
      <c r="F424" t="s">
        <v>2283</v>
      </c>
      <c r="G424" t="s">
        <v>1088</v>
      </c>
      <c r="I424">
        <v>1.548</v>
      </c>
    </row>
    <row r="425" spans="1:9" ht="15" customHeight="1" x14ac:dyDescent="0.15">
      <c r="A425" s="6"/>
      <c r="D425" t="s">
        <v>90</v>
      </c>
      <c r="E425" t="str">
        <f>E154&amp;".270"</f>
        <v>7.270</v>
      </c>
      <c r="F425" t="s">
        <v>2284</v>
      </c>
      <c r="G425" t="s">
        <v>1088</v>
      </c>
      <c r="I425">
        <v>0.97</v>
      </c>
    </row>
    <row r="426" spans="1:9" ht="15" customHeight="1" x14ac:dyDescent="0.15">
      <c r="A426" s="6"/>
      <c r="D426" t="s">
        <v>90</v>
      </c>
      <c r="E426" t="str">
        <f>E154&amp;".271"</f>
        <v>7.271</v>
      </c>
      <c r="F426" t="s">
        <v>2285</v>
      </c>
      <c r="G426" t="s">
        <v>1088</v>
      </c>
      <c r="I426">
        <v>2</v>
      </c>
    </row>
    <row r="427" spans="1:9" ht="15" customHeight="1" x14ac:dyDescent="0.15">
      <c r="A427" s="6"/>
      <c r="D427" t="s">
        <v>90</v>
      </c>
      <c r="E427" t="str">
        <f>E154&amp;".272"</f>
        <v>7.272</v>
      </c>
      <c r="F427" t="s">
        <v>2286</v>
      </c>
      <c r="G427" t="s">
        <v>1088</v>
      </c>
      <c r="I427">
        <v>0.67</v>
      </c>
    </row>
    <row r="428" spans="1:9" ht="15" customHeight="1" x14ac:dyDescent="0.15">
      <c r="A428" s="6"/>
      <c r="D428" t="s">
        <v>90</v>
      </c>
      <c r="E428" t="str">
        <f>E154&amp;".273"</f>
        <v>7.273</v>
      </c>
      <c r="F428" t="s">
        <v>2287</v>
      </c>
      <c r="G428" t="s">
        <v>1088</v>
      </c>
      <c r="I428">
        <v>1.548</v>
      </c>
    </row>
    <row r="429" spans="1:9" ht="15" customHeight="1" x14ac:dyDescent="0.15">
      <c r="A429" s="6"/>
      <c r="D429" t="s">
        <v>90</v>
      </c>
      <c r="E429" t="str">
        <f>E154&amp;".274"</f>
        <v>7.274</v>
      </c>
      <c r="F429" t="s">
        <v>2288</v>
      </c>
      <c r="G429" t="s">
        <v>1088</v>
      </c>
      <c r="I429">
        <v>1.8</v>
      </c>
    </row>
    <row r="430" spans="1:9" ht="15" customHeight="1" x14ac:dyDescent="0.15">
      <c r="A430" s="6"/>
      <c r="D430" t="s">
        <v>90</v>
      </c>
      <c r="E430" t="str">
        <f>E154&amp;".275"</f>
        <v>7.275</v>
      </c>
      <c r="F430" t="s">
        <v>2289</v>
      </c>
      <c r="G430" t="s">
        <v>1088</v>
      </c>
      <c r="I430">
        <v>10.6</v>
      </c>
    </row>
    <row r="431" spans="1:9" ht="15" customHeight="1" x14ac:dyDescent="0.15">
      <c r="A431" s="6"/>
      <c r="D431" t="s">
        <v>90</v>
      </c>
      <c r="E431" t="str">
        <f>E154&amp;".276"</f>
        <v>7.276</v>
      </c>
      <c r="F431" t="s">
        <v>2290</v>
      </c>
      <c r="G431" t="s">
        <v>1088</v>
      </c>
      <c r="I431">
        <v>13.76</v>
      </c>
    </row>
    <row r="432" spans="1:9" ht="15" customHeight="1" x14ac:dyDescent="0.15">
      <c r="A432" s="6"/>
      <c r="D432" t="s">
        <v>90</v>
      </c>
      <c r="E432" t="str">
        <f>E154&amp;".277"</f>
        <v>7.277</v>
      </c>
      <c r="F432" t="s">
        <v>2291</v>
      </c>
      <c r="G432" t="s">
        <v>1088</v>
      </c>
      <c r="I432">
        <v>0.86199999999999999</v>
      </c>
    </row>
    <row r="433" spans="1:9" ht="15" customHeight="1" x14ac:dyDescent="0.15">
      <c r="A433" s="6"/>
      <c r="D433" t="s">
        <v>90</v>
      </c>
      <c r="E433" t="str">
        <f>E154&amp;".278"</f>
        <v>7.278</v>
      </c>
      <c r="F433" t="s">
        <v>2292</v>
      </c>
      <c r="G433" t="s">
        <v>1088</v>
      </c>
      <c r="I433">
        <v>2.85</v>
      </c>
    </row>
    <row r="434" spans="1:9" ht="15" customHeight="1" x14ac:dyDescent="0.15">
      <c r="A434" s="6"/>
      <c r="D434" t="s">
        <v>90</v>
      </c>
      <c r="E434" t="str">
        <f>E154&amp;".279"</f>
        <v>7.279</v>
      </c>
      <c r="F434" t="s">
        <v>2293</v>
      </c>
      <c r="G434" t="s">
        <v>1088</v>
      </c>
      <c r="I434">
        <v>3.5</v>
      </c>
    </row>
    <row r="435" spans="1:9" ht="15" customHeight="1" x14ac:dyDescent="0.15">
      <c r="A435" s="6"/>
      <c r="D435" t="s">
        <v>90</v>
      </c>
      <c r="E435" t="str">
        <f>E154&amp;".280"</f>
        <v>7.280</v>
      </c>
      <c r="F435" t="s">
        <v>2294</v>
      </c>
      <c r="G435" t="s">
        <v>1088</v>
      </c>
      <c r="I435">
        <v>0.51600000000000001</v>
      </c>
    </row>
    <row r="436" spans="1:9" ht="15" customHeight="1" x14ac:dyDescent="0.15">
      <c r="A436" s="6"/>
      <c r="D436" t="s">
        <v>90</v>
      </c>
      <c r="E436" t="str">
        <f>E154&amp;".281"</f>
        <v>7.281</v>
      </c>
      <c r="F436" t="s">
        <v>2295</v>
      </c>
      <c r="G436" t="s">
        <v>1088</v>
      </c>
      <c r="I436">
        <v>0.51600000000000001</v>
      </c>
    </row>
    <row r="437" spans="1:9" ht="15" customHeight="1" x14ac:dyDescent="0.15">
      <c r="A437" s="6"/>
      <c r="D437" t="s">
        <v>90</v>
      </c>
      <c r="E437" t="str">
        <f>E154&amp;".282"</f>
        <v>7.282</v>
      </c>
      <c r="F437" t="s">
        <v>2296</v>
      </c>
      <c r="G437" t="s">
        <v>1088</v>
      </c>
      <c r="I437">
        <v>0.51600000000000001</v>
      </c>
    </row>
    <row r="438" spans="1:9" ht="15" customHeight="1" x14ac:dyDescent="0.15">
      <c r="A438" s="6"/>
      <c r="D438" t="s">
        <v>90</v>
      </c>
      <c r="E438" t="str">
        <f>E154&amp;".283"</f>
        <v>7.283</v>
      </c>
      <c r="F438" t="s">
        <v>2297</v>
      </c>
      <c r="G438" t="s">
        <v>1088</v>
      </c>
      <c r="I438">
        <v>1.032</v>
      </c>
    </row>
    <row r="439" spans="1:9" ht="15" customHeight="1" x14ac:dyDescent="0.15">
      <c r="A439" s="6"/>
      <c r="D439" t="s">
        <v>90</v>
      </c>
      <c r="E439" t="str">
        <f>E154&amp;".284"</f>
        <v>7.284</v>
      </c>
      <c r="F439" t="s">
        <v>2298</v>
      </c>
      <c r="G439" t="s">
        <v>1088</v>
      </c>
      <c r="I439">
        <v>0.68799999999999994</v>
      </c>
    </row>
    <row r="440" spans="1:9" ht="15" customHeight="1" x14ac:dyDescent="0.15">
      <c r="A440" s="6"/>
      <c r="D440" t="s">
        <v>90</v>
      </c>
      <c r="E440" t="str">
        <f>E154&amp;".285"</f>
        <v>7.285</v>
      </c>
      <c r="F440" t="s">
        <v>2299</v>
      </c>
      <c r="G440" t="s">
        <v>1088</v>
      </c>
      <c r="I440">
        <v>3.58</v>
      </c>
    </row>
    <row r="441" spans="1:9" ht="15" customHeight="1" x14ac:dyDescent="0.15">
      <c r="A441" s="6"/>
      <c r="D441" t="s">
        <v>90</v>
      </c>
      <c r="E441" t="str">
        <f>E154&amp;".286"</f>
        <v>7.286</v>
      </c>
      <c r="F441" t="s">
        <v>2300</v>
      </c>
      <c r="G441" t="s">
        <v>1088</v>
      </c>
      <c r="I441">
        <v>60</v>
      </c>
    </row>
    <row r="442" spans="1:9" ht="15" customHeight="1" x14ac:dyDescent="0.15">
      <c r="A442" s="6"/>
      <c r="D442" t="s">
        <v>90</v>
      </c>
      <c r="E442" t="str">
        <f>E154&amp;".287"</f>
        <v>7.287</v>
      </c>
      <c r="F442" t="s">
        <v>2301</v>
      </c>
      <c r="G442" t="s">
        <v>1088</v>
      </c>
      <c r="I442">
        <v>0.40200000000000002</v>
      </c>
    </row>
    <row r="443" spans="1:9" ht="15" customHeight="1" x14ac:dyDescent="0.15">
      <c r="A443" s="6"/>
      <c r="D443" t="s">
        <v>90</v>
      </c>
      <c r="E443" t="str">
        <f>E154&amp;".288"</f>
        <v>7.288</v>
      </c>
      <c r="F443" t="s">
        <v>2302</v>
      </c>
      <c r="G443" t="s">
        <v>1088</v>
      </c>
      <c r="I443">
        <v>0.51600000000000001</v>
      </c>
    </row>
    <row r="444" spans="1:9" ht="15" customHeight="1" x14ac:dyDescent="0.15">
      <c r="A444" s="6"/>
      <c r="D444" t="s">
        <v>90</v>
      </c>
      <c r="E444" t="str">
        <f>E154&amp;".289"</f>
        <v>7.289</v>
      </c>
      <c r="F444" t="s">
        <v>2303</v>
      </c>
      <c r="G444" t="s">
        <v>1088</v>
      </c>
      <c r="I444">
        <v>1.2549999999999999</v>
      </c>
    </row>
    <row r="445" spans="1:9" ht="15" customHeight="1" x14ac:dyDescent="0.15">
      <c r="A445" s="6"/>
      <c r="D445" t="s">
        <v>90</v>
      </c>
      <c r="E445" t="str">
        <f>E154&amp;".290"</f>
        <v>7.290</v>
      </c>
      <c r="F445" t="s">
        <v>2304</v>
      </c>
      <c r="G445" t="s">
        <v>1088</v>
      </c>
      <c r="I445">
        <v>0.68799999999999994</v>
      </c>
    </row>
    <row r="446" spans="1:9" ht="15" customHeight="1" x14ac:dyDescent="0.15">
      <c r="A446" s="6"/>
      <c r="D446" t="s">
        <v>90</v>
      </c>
      <c r="E446" t="str">
        <f>E154&amp;".291"</f>
        <v>7.291</v>
      </c>
      <c r="F446" t="s">
        <v>2305</v>
      </c>
      <c r="G446" t="s">
        <v>1088</v>
      </c>
      <c r="I446">
        <v>1.032</v>
      </c>
    </row>
    <row r="447" spans="1:9" ht="15" customHeight="1" x14ac:dyDescent="0.15">
      <c r="A447" s="6"/>
      <c r="D447" t="s">
        <v>90</v>
      </c>
      <c r="E447" t="str">
        <f>E154&amp;".292"</f>
        <v>7.292</v>
      </c>
      <c r="F447" t="s">
        <v>2306</v>
      </c>
      <c r="G447" t="s">
        <v>1088</v>
      </c>
      <c r="I447">
        <v>1.032</v>
      </c>
    </row>
    <row r="448" spans="1:9" ht="15" customHeight="1" x14ac:dyDescent="0.15">
      <c r="A448" s="6"/>
      <c r="D448" t="s">
        <v>90</v>
      </c>
      <c r="E448" t="str">
        <f>E154&amp;".293"</f>
        <v>7.293</v>
      </c>
      <c r="F448" t="s">
        <v>2307</v>
      </c>
      <c r="G448" t="s">
        <v>1088</v>
      </c>
      <c r="I448">
        <v>3.44</v>
      </c>
    </row>
    <row r="449" spans="1:9" ht="15" customHeight="1" x14ac:dyDescent="0.15">
      <c r="A449" s="6"/>
      <c r="D449" t="s">
        <v>90</v>
      </c>
      <c r="E449" t="str">
        <f>E154&amp;".294"</f>
        <v>7.294</v>
      </c>
      <c r="F449" t="s">
        <v>2308</v>
      </c>
      <c r="G449" t="s">
        <v>1088</v>
      </c>
      <c r="I449">
        <v>0.81699999999999995</v>
      </c>
    </row>
    <row r="450" spans="1:9" ht="15" customHeight="1" x14ac:dyDescent="0.15">
      <c r="A450" s="6"/>
      <c r="D450" t="s">
        <v>90</v>
      </c>
      <c r="E450" t="str">
        <f>E154&amp;".295"</f>
        <v>7.295</v>
      </c>
      <c r="F450" t="s">
        <v>2309</v>
      </c>
      <c r="G450" t="s">
        <v>1088</v>
      </c>
      <c r="I450">
        <v>1.032</v>
      </c>
    </row>
    <row r="451" spans="1:9" ht="15" customHeight="1" x14ac:dyDescent="0.15">
      <c r="A451" s="6"/>
      <c r="D451" t="s">
        <v>90</v>
      </c>
      <c r="E451" t="str">
        <f>E154&amp;".296"</f>
        <v>7.296</v>
      </c>
      <c r="F451" t="s">
        <v>2310</v>
      </c>
      <c r="G451" t="s">
        <v>1088</v>
      </c>
      <c r="I451">
        <v>1.032</v>
      </c>
    </row>
    <row r="452" spans="1:9" ht="15" customHeight="1" x14ac:dyDescent="0.15">
      <c r="A452" s="6"/>
      <c r="D452" t="s">
        <v>90</v>
      </c>
      <c r="E452" t="str">
        <f>E154&amp;".297"</f>
        <v>7.297</v>
      </c>
      <c r="F452" t="s">
        <v>2311</v>
      </c>
      <c r="G452" t="s">
        <v>1088</v>
      </c>
      <c r="I452">
        <v>0.51600000000000001</v>
      </c>
    </row>
    <row r="453" spans="1:9" ht="15" customHeight="1" x14ac:dyDescent="0.15">
      <c r="A453" s="6"/>
      <c r="D453" t="s">
        <v>90</v>
      </c>
      <c r="E453" t="str">
        <f>E154&amp;".298"</f>
        <v>7.298</v>
      </c>
      <c r="F453" t="s">
        <v>2312</v>
      </c>
      <c r="G453" t="s">
        <v>1088</v>
      </c>
      <c r="I453">
        <v>0.13800000000000001</v>
      </c>
    </row>
    <row r="454" spans="1:9" ht="15" customHeight="1" x14ac:dyDescent="0.15">
      <c r="A454" s="6"/>
      <c r="D454" t="s">
        <v>90</v>
      </c>
      <c r="E454" t="str">
        <f>E154&amp;".299"</f>
        <v>7.299</v>
      </c>
      <c r="F454" t="s">
        <v>2313</v>
      </c>
      <c r="G454" t="s">
        <v>1088</v>
      </c>
      <c r="I454">
        <v>0.51600000000000001</v>
      </c>
    </row>
    <row r="455" spans="1:9" ht="15" customHeight="1" x14ac:dyDescent="0.15">
      <c r="A455" s="6"/>
      <c r="D455" t="s">
        <v>90</v>
      </c>
      <c r="E455" t="str">
        <f>E154&amp;".300"</f>
        <v>7.300</v>
      </c>
      <c r="F455" t="s">
        <v>2314</v>
      </c>
      <c r="G455" t="s">
        <v>1088</v>
      </c>
      <c r="I455">
        <v>2.4849999999999999</v>
      </c>
    </row>
    <row r="456" spans="1:9" ht="15" customHeight="1" x14ac:dyDescent="0.15">
      <c r="A456" s="6"/>
      <c r="D456" t="s">
        <v>90</v>
      </c>
      <c r="E456" t="str">
        <f>E154&amp;".301"</f>
        <v>7.301</v>
      </c>
      <c r="F456" t="s">
        <v>2315</v>
      </c>
      <c r="G456" t="s">
        <v>1088</v>
      </c>
      <c r="I456">
        <v>1.032</v>
      </c>
    </row>
    <row r="457" spans="1:9" ht="15" customHeight="1" x14ac:dyDescent="0.15">
      <c r="A457" s="6"/>
      <c r="D457" t="s">
        <v>90</v>
      </c>
      <c r="E457" t="str">
        <f>E154&amp;".302"</f>
        <v>7.302</v>
      </c>
      <c r="F457" t="s">
        <v>2316</v>
      </c>
      <c r="G457" t="s">
        <v>1088</v>
      </c>
      <c r="I457">
        <v>1.5740000000000001</v>
      </c>
    </row>
    <row r="458" spans="1:9" ht="15" customHeight="1" x14ac:dyDescent="0.15">
      <c r="A458" s="6"/>
      <c r="D458" t="s">
        <v>90</v>
      </c>
      <c r="E458" t="str">
        <f>E154&amp;".303"</f>
        <v>7.303</v>
      </c>
      <c r="F458" t="s">
        <v>2317</v>
      </c>
      <c r="G458" t="s">
        <v>1088</v>
      </c>
      <c r="I458">
        <v>0.68799999999999994</v>
      </c>
    </row>
    <row r="459" spans="1:9" ht="15" customHeight="1" x14ac:dyDescent="0.15">
      <c r="A459" s="6"/>
      <c r="D459" t="s">
        <v>90</v>
      </c>
      <c r="E459" t="str">
        <f>E154&amp;".304"</f>
        <v>7.304</v>
      </c>
      <c r="F459" t="s">
        <v>2318</v>
      </c>
      <c r="G459" t="s">
        <v>1088</v>
      </c>
      <c r="I459">
        <v>1.0409999999999999</v>
      </c>
    </row>
    <row r="460" spans="1:9" ht="15" customHeight="1" x14ac:dyDescent="0.15">
      <c r="A460" s="6"/>
      <c r="D460" t="s">
        <v>90</v>
      </c>
      <c r="E460" t="str">
        <f>E154&amp;".305"</f>
        <v>7.305</v>
      </c>
      <c r="F460" t="s">
        <v>2319</v>
      </c>
      <c r="G460" t="s">
        <v>1088</v>
      </c>
      <c r="I460">
        <v>1.1180000000000001</v>
      </c>
    </row>
    <row r="461" spans="1:9" ht="15" customHeight="1" x14ac:dyDescent="0.15">
      <c r="A461" s="6"/>
      <c r="D461" t="s">
        <v>90</v>
      </c>
      <c r="E461" t="str">
        <f>E154&amp;".306"</f>
        <v>7.306</v>
      </c>
      <c r="F461" t="s">
        <v>2320</v>
      </c>
      <c r="G461" t="s">
        <v>1088</v>
      </c>
      <c r="I461">
        <v>1.72</v>
      </c>
    </row>
    <row r="462" spans="1:9" ht="15" customHeight="1" x14ac:dyDescent="0.15">
      <c r="A462" s="6"/>
      <c r="D462" t="s">
        <v>90</v>
      </c>
      <c r="E462" t="str">
        <f>E154&amp;".307"</f>
        <v>7.307</v>
      </c>
      <c r="F462" t="s">
        <v>2321</v>
      </c>
      <c r="G462" t="s">
        <v>1088</v>
      </c>
      <c r="I462">
        <v>1.8919999999999999</v>
      </c>
    </row>
    <row r="463" spans="1:9" ht="15" customHeight="1" x14ac:dyDescent="0.15">
      <c r="A463" s="6"/>
      <c r="D463" t="s">
        <v>90</v>
      </c>
      <c r="E463" t="str">
        <f>E154&amp;".308"</f>
        <v>7.308</v>
      </c>
      <c r="F463" t="s">
        <v>2322</v>
      </c>
      <c r="G463" t="s">
        <v>1088</v>
      </c>
      <c r="I463">
        <v>6.45</v>
      </c>
    </row>
    <row r="464" spans="1:9" ht="15" customHeight="1" x14ac:dyDescent="0.15">
      <c r="A464" s="6"/>
      <c r="D464" t="s">
        <v>90</v>
      </c>
      <c r="E464" t="str">
        <f>E154&amp;".309"</f>
        <v>7.309</v>
      </c>
      <c r="F464" t="s">
        <v>2323</v>
      </c>
      <c r="G464" t="s">
        <v>1088</v>
      </c>
      <c r="I464">
        <v>7.74</v>
      </c>
    </row>
    <row r="465" spans="1:9" ht="15" customHeight="1" x14ac:dyDescent="0.15">
      <c r="A465" s="6"/>
      <c r="D465" t="s">
        <v>90</v>
      </c>
      <c r="E465" t="str">
        <f>E154&amp;".310"</f>
        <v>7.310</v>
      </c>
      <c r="F465" t="s">
        <v>2324</v>
      </c>
      <c r="G465" t="s">
        <v>1088</v>
      </c>
      <c r="I465">
        <v>0.68799999999999994</v>
      </c>
    </row>
    <row r="466" spans="1:9" ht="15" customHeight="1" x14ac:dyDescent="0.15">
      <c r="A466" s="6"/>
      <c r="D466" t="s">
        <v>90</v>
      </c>
      <c r="E466" t="str">
        <f>E154&amp;".311"</f>
        <v>7.311</v>
      </c>
      <c r="F466" t="s">
        <v>2325</v>
      </c>
      <c r="G466" t="s">
        <v>1088</v>
      </c>
      <c r="I466">
        <v>0.51600000000000001</v>
      </c>
    </row>
    <row r="467" spans="1:9" ht="15" customHeight="1" x14ac:dyDescent="0.15">
      <c r="A467" s="6"/>
      <c r="D467" t="s">
        <v>90</v>
      </c>
      <c r="E467" t="str">
        <f>E154&amp;".312"</f>
        <v>7.312</v>
      </c>
      <c r="F467" t="s">
        <v>2326</v>
      </c>
      <c r="G467" t="s">
        <v>1088</v>
      </c>
      <c r="I467">
        <v>13.5</v>
      </c>
    </row>
    <row r="468" spans="1:9" ht="15" customHeight="1" x14ac:dyDescent="0.15">
      <c r="A468" s="6"/>
      <c r="D468" t="s">
        <v>90</v>
      </c>
      <c r="E468" t="str">
        <f>E154&amp;".313"</f>
        <v>7.313</v>
      </c>
      <c r="F468" t="s">
        <v>2327</v>
      </c>
      <c r="G468" t="s">
        <v>1088</v>
      </c>
      <c r="I468">
        <v>2.4849999999999999</v>
      </c>
    </row>
    <row r="469" spans="1:9" ht="15" customHeight="1" x14ac:dyDescent="0.15">
      <c r="A469" s="6"/>
      <c r="D469" t="s">
        <v>90</v>
      </c>
      <c r="E469" t="str">
        <f>E154&amp;".314"</f>
        <v>7.314</v>
      </c>
      <c r="F469" t="s">
        <v>2328</v>
      </c>
      <c r="G469" t="s">
        <v>1088</v>
      </c>
      <c r="I469">
        <v>1.488</v>
      </c>
    </row>
    <row r="470" spans="1:9" ht="15" customHeight="1" x14ac:dyDescent="0.15">
      <c r="A470" s="6"/>
      <c r="D470" t="s">
        <v>90</v>
      </c>
      <c r="E470" t="str">
        <f>E154&amp;".315"</f>
        <v>7.315</v>
      </c>
      <c r="F470" t="s">
        <v>2329</v>
      </c>
      <c r="G470" t="s">
        <v>1088</v>
      </c>
      <c r="I470">
        <v>1.032</v>
      </c>
    </row>
    <row r="471" spans="1:9" ht="15" customHeight="1" x14ac:dyDescent="0.15">
      <c r="A471" s="6"/>
      <c r="D471" t="s">
        <v>90</v>
      </c>
      <c r="E471" t="str">
        <f>E154&amp;".316"</f>
        <v>7.316</v>
      </c>
      <c r="F471" t="s">
        <v>2330</v>
      </c>
      <c r="G471" t="s">
        <v>1088</v>
      </c>
      <c r="I471">
        <v>1.032</v>
      </c>
    </row>
    <row r="472" spans="1:9" ht="15" customHeight="1" x14ac:dyDescent="0.15">
      <c r="A472" s="6"/>
      <c r="D472" t="s">
        <v>90</v>
      </c>
      <c r="E472" t="str">
        <f>E154&amp;".317"</f>
        <v>7.317</v>
      </c>
      <c r="F472" t="s">
        <v>2331</v>
      </c>
      <c r="G472" t="s">
        <v>1088</v>
      </c>
      <c r="I472">
        <v>2.58</v>
      </c>
    </row>
    <row r="473" spans="1:9" ht="15" customHeight="1" x14ac:dyDescent="0.15">
      <c r="A473" s="6"/>
      <c r="D473" t="s">
        <v>90</v>
      </c>
      <c r="E473" t="str">
        <f>E154&amp;".318"</f>
        <v>7.318</v>
      </c>
      <c r="F473" t="s">
        <v>2332</v>
      </c>
      <c r="G473" t="s">
        <v>1088</v>
      </c>
      <c r="I473">
        <v>0.51600000000000001</v>
      </c>
    </row>
    <row r="474" spans="1:9" ht="15" customHeight="1" x14ac:dyDescent="0.15">
      <c r="A474" s="6"/>
      <c r="D474" t="s">
        <v>90</v>
      </c>
      <c r="E474" t="str">
        <f>E154&amp;".319"</f>
        <v>7.319</v>
      </c>
      <c r="F474" t="s">
        <v>2333</v>
      </c>
      <c r="G474" t="s">
        <v>1088</v>
      </c>
      <c r="I474">
        <v>8.6</v>
      </c>
    </row>
    <row r="475" spans="1:9" ht="15" customHeight="1" x14ac:dyDescent="0.15">
      <c r="A475" s="6"/>
      <c r="D475" t="s">
        <v>90</v>
      </c>
      <c r="E475" t="str">
        <f>E154&amp;".320"</f>
        <v>7.320</v>
      </c>
      <c r="F475" t="s">
        <v>2334</v>
      </c>
      <c r="G475" t="s">
        <v>1088</v>
      </c>
      <c r="I475">
        <v>8.6</v>
      </c>
    </row>
    <row r="476" spans="1:9" ht="15" customHeight="1" x14ac:dyDescent="0.15">
      <c r="A476" s="6"/>
      <c r="D476" t="s">
        <v>90</v>
      </c>
      <c r="E476" t="str">
        <f>E154&amp;".321"</f>
        <v>7.321</v>
      </c>
      <c r="F476" t="s">
        <v>2335</v>
      </c>
      <c r="G476" t="s">
        <v>1088</v>
      </c>
      <c r="I476">
        <v>1.74</v>
      </c>
    </row>
    <row r="477" spans="1:9" ht="15" customHeight="1" x14ac:dyDescent="0.15">
      <c r="A477" s="6"/>
      <c r="D477" t="s">
        <v>90</v>
      </c>
      <c r="E477" t="str">
        <f>E154&amp;".322"</f>
        <v>7.322</v>
      </c>
      <c r="F477" t="s">
        <v>2336</v>
      </c>
      <c r="G477" t="s">
        <v>1088</v>
      </c>
      <c r="I477">
        <v>0.31</v>
      </c>
    </row>
    <row r="478" spans="1:9" ht="15" customHeight="1" x14ac:dyDescent="0.15">
      <c r="A478" s="6"/>
      <c r="D478" t="s">
        <v>90</v>
      </c>
      <c r="E478" t="str">
        <f>E154&amp;".323"</f>
        <v>7.323</v>
      </c>
      <c r="F478" t="s">
        <v>2337</v>
      </c>
      <c r="G478" t="s">
        <v>1088</v>
      </c>
      <c r="I478">
        <v>0.51600000000000001</v>
      </c>
    </row>
    <row r="479" spans="1:9" ht="15" customHeight="1" x14ac:dyDescent="0.15">
      <c r="A479" s="6"/>
      <c r="D479" t="s">
        <v>90</v>
      </c>
      <c r="E479" t="str">
        <f>E154&amp;".324"</f>
        <v>7.324</v>
      </c>
      <c r="F479" t="s">
        <v>2338</v>
      </c>
      <c r="G479" t="s">
        <v>1088</v>
      </c>
      <c r="I479">
        <v>0.17199999999999999</v>
      </c>
    </row>
    <row r="480" spans="1:9" ht="15" customHeight="1" x14ac:dyDescent="0.15">
      <c r="A480" s="6"/>
      <c r="D480" t="s">
        <v>90</v>
      </c>
      <c r="E480" t="str">
        <f>E154&amp;".325"</f>
        <v>7.325</v>
      </c>
      <c r="F480" t="s">
        <v>2339</v>
      </c>
      <c r="G480" t="s">
        <v>1088</v>
      </c>
      <c r="I480">
        <v>0.31</v>
      </c>
    </row>
    <row r="481" spans="1:9" ht="15" customHeight="1" x14ac:dyDescent="0.15">
      <c r="A481" s="6"/>
      <c r="D481" t="s">
        <v>90</v>
      </c>
      <c r="E481" t="str">
        <f>E154&amp;".326"</f>
        <v>7.326</v>
      </c>
      <c r="F481" t="s">
        <v>2340</v>
      </c>
      <c r="G481" t="s">
        <v>1088</v>
      </c>
      <c r="I481">
        <v>0.17199999999999999</v>
      </c>
    </row>
    <row r="482" spans="1:9" ht="15" customHeight="1" x14ac:dyDescent="0.15">
      <c r="A482" s="6"/>
      <c r="D482" t="s">
        <v>90</v>
      </c>
      <c r="E482" t="str">
        <f>E154&amp;".327"</f>
        <v>7.327</v>
      </c>
      <c r="F482" t="s">
        <v>2341</v>
      </c>
      <c r="G482" t="s">
        <v>1088</v>
      </c>
      <c r="I482">
        <v>6.8000000000000005E-2</v>
      </c>
    </row>
    <row r="483" spans="1:9" ht="15" customHeight="1" x14ac:dyDescent="0.15">
      <c r="A483" s="6"/>
      <c r="D483" t="s">
        <v>90</v>
      </c>
      <c r="E483" t="str">
        <f>E154&amp;".328"</f>
        <v>7.328</v>
      </c>
      <c r="F483" t="s">
        <v>2342</v>
      </c>
      <c r="G483" t="s">
        <v>1088</v>
      </c>
      <c r="I483">
        <v>0.24</v>
      </c>
    </row>
    <row r="484" spans="1:9" ht="15" customHeight="1" x14ac:dyDescent="0.15">
      <c r="A484" s="6"/>
      <c r="D484" t="s">
        <v>90</v>
      </c>
      <c r="E484" t="str">
        <f>E154&amp;".329"</f>
        <v>7.329</v>
      </c>
      <c r="F484" t="s">
        <v>2343</v>
      </c>
      <c r="G484" t="s">
        <v>1088</v>
      </c>
      <c r="I484">
        <v>0.13600000000000001</v>
      </c>
    </row>
    <row r="485" spans="1:9" ht="15" customHeight="1" x14ac:dyDescent="0.15">
      <c r="A485" s="6"/>
      <c r="D485" t="s">
        <v>90</v>
      </c>
      <c r="E485" t="str">
        <f>E154&amp;".330"</f>
        <v>7.330</v>
      </c>
      <c r="F485" t="s">
        <v>2344</v>
      </c>
      <c r="G485" t="s">
        <v>1088</v>
      </c>
      <c r="I485">
        <v>0.31</v>
      </c>
    </row>
    <row r="486" spans="1:9" ht="15" customHeight="1" x14ac:dyDescent="0.15">
      <c r="A486" s="6"/>
      <c r="D486" t="s">
        <v>90</v>
      </c>
      <c r="E486" t="str">
        <f>E154&amp;".331"</f>
        <v>7.331</v>
      </c>
      <c r="F486" t="s">
        <v>2345</v>
      </c>
      <c r="G486" t="s">
        <v>1088</v>
      </c>
      <c r="I486">
        <v>1.641</v>
      </c>
    </row>
    <row r="487" spans="1:9" ht="15" customHeight="1" x14ac:dyDescent="0.15">
      <c r="A487" s="6"/>
      <c r="D487" t="s">
        <v>90</v>
      </c>
      <c r="E487" t="str">
        <f>E154&amp;".332"</f>
        <v>7.332</v>
      </c>
      <c r="F487" t="s">
        <v>2346</v>
      </c>
      <c r="G487" t="s">
        <v>1088</v>
      </c>
      <c r="I487">
        <v>0.68300000000000005</v>
      </c>
    </row>
    <row r="488" spans="1:9" ht="15" customHeight="1" x14ac:dyDescent="0.15">
      <c r="A488" s="6"/>
      <c r="D488" t="s">
        <v>90</v>
      </c>
      <c r="E488" t="str">
        <f>E154&amp;".333"</f>
        <v>7.333</v>
      </c>
      <c r="F488" t="s">
        <v>2347</v>
      </c>
      <c r="G488" t="s">
        <v>1088</v>
      </c>
      <c r="I488">
        <v>0.92900000000000005</v>
      </c>
    </row>
    <row r="489" spans="1:9" ht="15" customHeight="1" x14ac:dyDescent="0.15">
      <c r="A489" s="6"/>
      <c r="D489" t="s">
        <v>90</v>
      </c>
      <c r="E489" t="str">
        <f>E154&amp;".334"</f>
        <v>7.334</v>
      </c>
      <c r="F489" t="s">
        <v>2348</v>
      </c>
      <c r="G489" t="s">
        <v>1088</v>
      </c>
      <c r="I489">
        <v>0.51600000000000001</v>
      </c>
    </row>
    <row r="490" spans="1:9" ht="15" customHeight="1" x14ac:dyDescent="0.15">
      <c r="A490" s="6"/>
      <c r="D490" t="s">
        <v>90</v>
      </c>
      <c r="E490" t="str">
        <f>E154&amp;".335"</f>
        <v>7.335</v>
      </c>
      <c r="F490" t="s">
        <v>2349</v>
      </c>
      <c r="G490" t="s">
        <v>1088</v>
      </c>
      <c r="I490">
        <v>5.16</v>
      </c>
    </row>
    <row r="491" spans="1:9" ht="15" customHeight="1" x14ac:dyDescent="0.15">
      <c r="A491" s="6"/>
      <c r="D491" t="s">
        <v>90</v>
      </c>
      <c r="E491" t="str">
        <f>E154&amp;".336"</f>
        <v>7.336</v>
      </c>
      <c r="F491" t="s">
        <v>2350</v>
      </c>
      <c r="G491" t="s">
        <v>1088</v>
      </c>
      <c r="I491">
        <v>5.4</v>
      </c>
    </row>
    <row r="492" spans="1:9" ht="15" customHeight="1" x14ac:dyDescent="0.15">
      <c r="A492" s="6"/>
      <c r="D492" t="s">
        <v>90</v>
      </c>
      <c r="E492" t="str">
        <f>E154&amp;".337"</f>
        <v>7.337</v>
      </c>
      <c r="F492" t="s">
        <v>2351</v>
      </c>
      <c r="G492" t="s">
        <v>1088</v>
      </c>
      <c r="I492">
        <v>2.4900000000000002</v>
      </c>
    </row>
    <row r="493" spans="1:9" ht="15" customHeight="1" x14ac:dyDescent="0.15">
      <c r="A493" s="6"/>
      <c r="D493" t="s">
        <v>90</v>
      </c>
      <c r="E493" t="str">
        <f>E154&amp;".338"</f>
        <v>7.338</v>
      </c>
      <c r="F493" t="s">
        <v>2352</v>
      </c>
      <c r="G493" t="s">
        <v>1088</v>
      </c>
      <c r="I493">
        <v>5.0599999999999996</v>
      </c>
    </row>
    <row r="494" spans="1:9" ht="15" customHeight="1" x14ac:dyDescent="0.15">
      <c r="A494" s="6"/>
      <c r="D494" t="s">
        <v>90</v>
      </c>
      <c r="E494" t="str">
        <f>E154&amp;".339"</f>
        <v>7.339</v>
      </c>
      <c r="F494" t="s">
        <v>2353</v>
      </c>
      <c r="G494" t="s">
        <v>1088</v>
      </c>
      <c r="I494">
        <v>4.29</v>
      </c>
    </row>
    <row r="495" spans="1:9" ht="15" customHeight="1" x14ac:dyDescent="0.15">
      <c r="A495" s="6"/>
      <c r="D495" t="s">
        <v>90</v>
      </c>
      <c r="E495" t="str">
        <f>E154&amp;".340"</f>
        <v>7.340</v>
      </c>
      <c r="F495" t="s">
        <v>2354</v>
      </c>
      <c r="G495" t="s">
        <v>1088</v>
      </c>
      <c r="I495">
        <v>1.56</v>
      </c>
    </row>
    <row r="496" spans="1:9" ht="15" customHeight="1" x14ac:dyDescent="0.15">
      <c r="A496" s="6"/>
      <c r="D496" t="s">
        <v>90</v>
      </c>
      <c r="E496" t="str">
        <f>E154&amp;".341"</f>
        <v>7.341</v>
      </c>
      <c r="F496" t="s">
        <v>2355</v>
      </c>
      <c r="G496" t="s">
        <v>1088</v>
      </c>
      <c r="I496">
        <v>1.032</v>
      </c>
    </row>
    <row r="497" spans="1:9" ht="15" customHeight="1" x14ac:dyDescent="0.15">
      <c r="A497" s="6"/>
      <c r="D497" t="s">
        <v>90</v>
      </c>
      <c r="E497" t="str">
        <f>E154&amp;".342"</f>
        <v>7.342</v>
      </c>
      <c r="F497" t="s">
        <v>2356</v>
      </c>
      <c r="G497" t="s">
        <v>1088</v>
      </c>
      <c r="I497">
        <v>1.032</v>
      </c>
    </row>
    <row r="498" spans="1:9" ht="15" customHeight="1" x14ac:dyDescent="0.15">
      <c r="A498" s="6"/>
      <c r="D498" t="s">
        <v>90</v>
      </c>
      <c r="E498" t="str">
        <f>E154&amp;".343"</f>
        <v>7.343</v>
      </c>
      <c r="F498" t="s">
        <v>2357</v>
      </c>
      <c r="G498" t="s">
        <v>1088</v>
      </c>
      <c r="I498">
        <v>2</v>
      </c>
    </row>
    <row r="499" spans="1:9" ht="15" customHeight="1" x14ac:dyDescent="0.15">
      <c r="A499" s="6"/>
      <c r="D499" t="s">
        <v>90</v>
      </c>
      <c r="E499" t="str">
        <f>E154&amp;".344"</f>
        <v>7.344</v>
      </c>
      <c r="F499" t="s">
        <v>2358</v>
      </c>
      <c r="G499" t="s">
        <v>1088</v>
      </c>
      <c r="I499">
        <v>2.58</v>
      </c>
    </row>
    <row r="500" spans="1:9" ht="15" customHeight="1" x14ac:dyDescent="0.15">
      <c r="A500" s="6"/>
      <c r="D500" t="s">
        <v>90</v>
      </c>
      <c r="E500" t="str">
        <f>E154&amp;".345"</f>
        <v>7.345</v>
      </c>
      <c r="F500" t="s">
        <v>2359</v>
      </c>
      <c r="G500" t="s">
        <v>1088</v>
      </c>
      <c r="I500">
        <v>0.68799999999999994</v>
      </c>
    </row>
    <row r="501" spans="1:9" ht="15" customHeight="1" x14ac:dyDescent="0.15">
      <c r="A501" s="6"/>
      <c r="D501" t="s">
        <v>90</v>
      </c>
      <c r="E501" t="str">
        <f>E154&amp;".346"</f>
        <v>7.346</v>
      </c>
      <c r="F501" t="s">
        <v>2360</v>
      </c>
      <c r="G501" t="s">
        <v>1088</v>
      </c>
      <c r="I501">
        <v>1.032</v>
      </c>
    </row>
    <row r="502" spans="1:9" ht="15" customHeight="1" x14ac:dyDescent="0.15">
      <c r="A502" s="6"/>
      <c r="D502" t="s">
        <v>90</v>
      </c>
      <c r="E502" t="str">
        <f>E154&amp;".347"</f>
        <v>7.347</v>
      </c>
      <c r="F502" t="s">
        <v>2361</v>
      </c>
      <c r="G502" t="s">
        <v>1088</v>
      </c>
      <c r="I502">
        <v>14.88</v>
      </c>
    </row>
    <row r="503" spans="1:9" ht="15" customHeight="1" x14ac:dyDescent="0.15">
      <c r="A503" s="6"/>
      <c r="D503" t="s">
        <v>90</v>
      </c>
      <c r="E503" t="str">
        <f>E154&amp;".348"</f>
        <v>7.348</v>
      </c>
      <c r="F503" t="s">
        <v>2362</v>
      </c>
      <c r="G503" t="s">
        <v>1088</v>
      </c>
      <c r="I503">
        <v>1.032</v>
      </c>
    </row>
    <row r="504" spans="1:9" ht="15" customHeight="1" x14ac:dyDescent="0.15">
      <c r="A504" s="6"/>
      <c r="D504" t="s">
        <v>90</v>
      </c>
      <c r="E504" t="str">
        <f>E154&amp;".349"</f>
        <v>7.349</v>
      </c>
      <c r="F504" t="s">
        <v>2363</v>
      </c>
      <c r="G504" t="s">
        <v>1088</v>
      </c>
      <c r="I504">
        <v>4.32</v>
      </c>
    </row>
    <row r="505" spans="1:9" ht="15" customHeight="1" x14ac:dyDescent="0.15">
      <c r="A505" s="6"/>
      <c r="D505" t="s">
        <v>90</v>
      </c>
      <c r="E505" t="str">
        <f>E154&amp;".350"</f>
        <v>7.350</v>
      </c>
      <c r="F505" t="s">
        <v>2364</v>
      </c>
      <c r="G505" t="s">
        <v>1088</v>
      </c>
      <c r="I505">
        <v>8.6</v>
      </c>
    </row>
    <row r="506" spans="1:9" ht="15" customHeight="1" x14ac:dyDescent="0.15">
      <c r="A506" s="6"/>
      <c r="D506" t="s">
        <v>90</v>
      </c>
      <c r="E506" t="str">
        <f>E154&amp;".351"</f>
        <v>7.351</v>
      </c>
      <c r="F506" t="s">
        <v>2365</v>
      </c>
      <c r="G506" t="s">
        <v>1088</v>
      </c>
      <c r="I506">
        <v>5.59</v>
      </c>
    </row>
    <row r="507" spans="1:9" ht="15" customHeight="1" x14ac:dyDescent="0.15">
      <c r="A507" s="6"/>
      <c r="D507" t="s">
        <v>90</v>
      </c>
      <c r="E507" t="str">
        <f>E154&amp;".352"</f>
        <v>7.352</v>
      </c>
      <c r="F507" t="s">
        <v>2366</v>
      </c>
      <c r="G507" t="s">
        <v>1088</v>
      </c>
      <c r="I507">
        <v>6.45</v>
      </c>
    </row>
    <row r="508" spans="1:9" ht="15" customHeight="1" x14ac:dyDescent="0.15">
      <c r="A508" s="6"/>
      <c r="D508" t="s">
        <v>90</v>
      </c>
      <c r="E508" t="str">
        <f>E154&amp;".353"</f>
        <v>7.353</v>
      </c>
      <c r="F508" t="s">
        <v>2367</v>
      </c>
      <c r="G508" t="s">
        <v>1088</v>
      </c>
      <c r="I508">
        <v>2.0640000000000001</v>
      </c>
    </row>
    <row r="509" spans="1:9" ht="15" customHeight="1" x14ac:dyDescent="0.15">
      <c r="A509" s="6"/>
      <c r="D509" t="s">
        <v>90</v>
      </c>
      <c r="E509" t="str">
        <f>E154&amp;".354"</f>
        <v>7.354</v>
      </c>
      <c r="F509" t="s">
        <v>2368</v>
      </c>
      <c r="G509" t="s">
        <v>1088</v>
      </c>
      <c r="I509">
        <v>0.68799999999999994</v>
      </c>
    </row>
    <row r="510" spans="1:9" ht="15" customHeight="1" x14ac:dyDescent="0.15">
      <c r="A510" s="6"/>
      <c r="D510" t="s">
        <v>90</v>
      </c>
      <c r="E510" t="str">
        <f>E154&amp;".355"</f>
        <v>7.355</v>
      </c>
      <c r="F510" t="s">
        <v>2369</v>
      </c>
      <c r="G510" t="s">
        <v>1088</v>
      </c>
      <c r="I510">
        <v>1.032</v>
      </c>
    </row>
    <row r="511" spans="1:9" ht="15" customHeight="1" x14ac:dyDescent="0.15">
      <c r="A511" s="6"/>
      <c r="D511" t="s">
        <v>90</v>
      </c>
      <c r="E511" t="str">
        <f>E154&amp;".356"</f>
        <v>7.356</v>
      </c>
      <c r="F511" t="s">
        <v>2370</v>
      </c>
      <c r="G511" t="s">
        <v>1088</v>
      </c>
      <c r="I511">
        <v>0.68799999999999994</v>
      </c>
    </row>
    <row r="512" spans="1:9" ht="15" customHeight="1" x14ac:dyDescent="0.15">
      <c r="A512" s="6"/>
      <c r="D512" t="s">
        <v>90</v>
      </c>
      <c r="E512" t="str">
        <f>E154&amp;".357"</f>
        <v>7.357</v>
      </c>
      <c r="F512" t="s">
        <v>2371</v>
      </c>
      <c r="G512" t="s">
        <v>1088</v>
      </c>
      <c r="I512">
        <v>0.51600000000000001</v>
      </c>
    </row>
    <row r="513" spans="1:9" ht="15" customHeight="1" x14ac:dyDescent="0.15">
      <c r="A513" s="6"/>
      <c r="D513" t="s">
        <v>90</v>
      </c>
      <c r="E513" t="str">
        <f>E154&amp;".358"</f>
        <v>7.358</v>
      </c>
      <c r="F513" t="s">
        <v>2372</v>
      </c>
      <c r="G513" t="s">
        <v>1088</v>
      </c>
      <c r="I513">
        <v>1.032</v>
      </c>
    </row>
    <row r="514" spans="1:9" ht="15" customHeight="1" x14ac:dyDescent="0.15">
      <c r="A514" s="6"/>
      <c r="D514" t="s">
        <v>90</v>
      </c>
      <c r="E514" t="str">
        <f>E154&amp;".359"</f>
        <v>7.359</v>
      </c>
      <c r="F514" t="s">
        <v>2373</v>
      </c>
      <c r="G514" t="s">
        <v>1088</v>
      </c>
      <c r="I514">
        <v>1.3</v>
      </c>
    </row>
    <row r="515" spans="1:9" ht="15" customHeight="1" x14ac:dyDescent="0.15">
      <c r="A515" s="6"/>
      <c r="D515" t="s">
        <v>90</v>
      </c>
      <c r="E515" t="str">
        <f>E154&amp;".360"</f>
        <v>7.360</v>
      </c>
      <c r="F515" t="s">
        <v>2374</v>
      </c>
      <c r="G515" t="s">
        <v>1088</v>
      </c>
      <c r="I515">
        <v>0.68799999999999994</v>
      </c>
    </row>
    <row r="516" spans="1:9" ht="15" customHeight="1" x14ac:dyDescent="0.15">
      <c r="A516" s="6"/>
      <c r="D516" t="s">
        <v>90</v>
      </c>
      <c r="E516" t="str">
        <f>E154&amp;".361"</f>
        <v>7.361</v>
      </c>
      <c r="F516" t="s">
        <v>2375</v>
      </c>
      <c r="G516" t="s">
        <v>1088</v>
      </c>
      <c r="I516">
        <v>0.17199999999999999</v>
      </c>
    </row>
    <row r="517" spans="1:9" ht="15" customHeight="1" x14ac:dyDescent="0.15">
      <c r="A517" s="6"/>
      <c r="D517" t="s">
        <v>90</v>
      </c>
      <c r="E517" t="str">
        <f>E154&amp;".362"</f>
        <v>7.362</v>
      </c>
      <c r="F517" t="s">
        <v>2376</v>
      </c>
      <c r="G517" t="s">
        <v>1088</v>
      </c>
      <c r="I517">
        <v>0.25800000000000001</v>
      </c>
    </row>
    <row r="518" spans="1:9" ht="15" customHeight="1" x14ac:dyDescent="0.15">
      <c r="A518" s="6"/>
      <c r="D518" t="s">
        <v>90</v>
      </c>
      <c r="E518" t="str">
        <f>E154&amp;".363"</f>
        <v>7.363</v>
      </c>
      <c r="F518" t="s">
        <v>2377</v>
      </c>
      <c r="G518" t="s">
        <v>1088</v>
      </c>
      <c r="I518">
        <v>46.7</v>
      </c>
    </row>
    <row r="519" spans="1:9" ht="15" customHeight="1" x14ac:dyDescent="0.15">
      <c r="A519" s="6"/>
      <c r="D519" t="s">
        <v>90</v>
      </c>
      <c r="E519" t="str">
        <f>E154&amp;".364"</f>
        <v>7.364</v>
      </c>
      <c r="F519" t="s">
        <v>2378</v>
      </c>
      <c r="G519" t="s">
        <v>1088</v>
      </c>
      <c r="I519">
        <v>0.68799999999999994</v>
      </c>
    </row>
    <row r="520" spans="1:9" ht="15" customHeight="1" x14ac:dyDescent="0.15">
      <c r="A520" s="6"/>
      <c r="D520" t="s">
        <v>90</v>
      </c>
      <c r="E520" t="str">
        <f>E154&amp;".365"</f>
        <v>7.365</v>
      </c>
      <c r="F520" t="s">
        <v>2379</v>
      </c>
      <c r="G520" t="s">
        <v>1088</v>
      </c>
      <c r="I520">
        <v>46.128999999999998</v>
      </c>
    </row>
    <row r="521" spans="1:9" ht="15" customHeight="1" x14ac:dyDescent="0.15">
      <c r="A521" s="6"/>
      <c r="D521" t="s">
        <v>90</v>
      </c>
      <c r="E521" t="str">
        <f>E154&amp;".366"</f>
        <v>7.366</v>
      </c>
      <c r="F521" t="s">
        <v>2380</v>
      </c>
      <c r="G521" t="s">
        <v>1088</v>
      </c>
      <c r="I521">
        <v>50.94</v>
      </c>
    </row>
    <row r="522" spans="1:9" ht="15" customHeight="1" x14ac:dyDescent="0.15">
      <c r="A522" s="6"/>
      <c r="D522" t="s">
        <v>90</v>
      </c>
      <c r="E522" t="str">
        <f>E154&amp;".367"</f>
        <v>7.367</v>
      </c>
      <c r="F522" t="s">
        <v>2381</v>
      </c>
      <c r="G522" t="s">
        <v>1088</v>
      </c>
      <c r="I522">
        <v>12</v>
      </c>
    </row>
    <row r="523" spans="1:9" ht="15" customHeight="1" x14ac:dyDescent="0.15">
      <c r="A523" s="6"/>
      <c r="D523" t="s">
        <v>90</v>
      </c>
      <c r="E523" t="str">
        <f>E154&amp;".368"</f>
        <v>7.368</v>
      </c>
      <c r="F523" t="s">
        <v>2382</v>
      </c>
      <c r="G523" t="s">
        <v>1088</v>
      </c>
      <c r="I523">
        <v>42.45</v>
      </c>
    </row>
    <row r="524" spans="1:9" ht="15" customHeight="1" x14ac:dyDescent="0.15">
      <c r="A524" s="6"/>
      <c r="D524" t="s">
        <v>90</v>
      </c>
      <c r="E524" t="str">
        <f>E154&amp;".369"</f>
        <v>7.369</v>
      </c>
      <c r="F524" t="s">
        <v>2383</v>
      </c>
      <c r="G524" t="s">
        <v>1088</v>
      </c>
      <c r="I524">
        <v>0.68799999999999994</v>
      </c>
    </row>
    <row r="525" spans="1:9" ht="15" customHeight="1" x14ac:dyDescent="0.15">
      <c r="A525" s="6"/>
      <c r="D525" t="s">
        <v>90</v>
      </c>
      <c r="E525" t="str">
        <f>E154&amp;".370"</f>
        <v>7.370</v>
      </c>
      <c r="F525" t="s">
        <v>2384</v>
      </c>
      <c r="G525" t="s">
        <v>1088</v>
      </c>
      <c r="I525">
        <v>6</v>
      </c>
    </row>
    <row r="526" spans="1:9" ht="15" customHeight="1" x14ac:dyDescent="0.15">
      <c r="A526" s="6"/>
      <c r="D526" t="s">
        <v>90</v>
      </c>
      <c r="E526" t="str">
        <f>E154&amp;".371"</f>
        <v>7.371</v>
      </c>
      <c r="F526" t="s">
        <v>2385</v>
      </c>
      <c r="G526" t="s">
        <v>1088</v>
      </c>
      <c r="I526">
        <v>1.6</v>
      </c>
    </row>
    <row r="527" spans="1:9" ht="15" customHeight="1" x14ac:dyDescent="0.15">
      <c r="A527" s="6"/>
      <c r="D527" t="s">
        <v>90</v>
      </c>
      <c r="E527" t="str">
        <f>E154&amp;".372"</f>
        <v>7.372</v>
      </c>
      <c r="F527" t="s">
        <v>2386</v>
      </c>
      <c r="G527" t="s">
        <v>1088</v>
      </c>
      <c r="I527">
        <v>25.47</v>
      </c>
    </row>
    <row r="528" spans="1:9" ht="15" customHeight="1" x14ac:dyDescent="0.15">
      <c r="A528" s="6"/>
      <c r="D528" t="s">
        <v>90</v>
      </c>
      <c r="E528" t="str">
        <f>E154&amp;".373"</f>
        <v>7.373</v>
      </c>
      <c r="F528" t="s">
        <v>2387</v>
      </c>
      <c r="G528" t="s">
        <v>1088</v>
      </c>
      <c r="I528">
        <v>9</v>
      </c>
    </row>
    <row r="529" spans="1:9" ht="15" customHeight="1" x14ac:dyDescent="0.15">
      <c r="A529" s="6"/>
      <c r="D529" t="s">
        <v>90</v>
      </c>
      <c r="E529" t="str">
        <f>E154&amp;".374"</f>
        <v>7.374</v>
      </c>
      <c r="F529" t="s">
        <v>2388</v>
      </c>
      <c r="G529" t="s">
        <v>1088</v>
      </c>
      <c r="I529">
        <v>70.75</v>
      </c>
    </row>
    <row r="530" spans="1:9" ht="15" customHeight="1" x14ac:dyDescent="0.15">
      <c r="A530" s="6"/>
      <c r="D530" t="s">
        <v>90</v>
      </c>
      <c r="E530" t="str">
        <f>E154&amp;".375"</f>
        <v>7.375</v>
      </c>
      <c r="F530" t="s">
        <v>2389</v>
      </c>
      <c r="G530" t="s">
        <v>1088</v>
      </c>
      <c r="I530">
        <v>44.148000000000003</v>
      </c>
    </row>
    <row r="531" spans="1:9" ht="15" customHeight="1" x14ac:dyDescent="0.15">
      <c r="A531" s="6"/>
      <c r="D531" t="s">
        <v>90</v>
      </c>
      <c r="E531" t="str">
        <f>E154&amp;".376"</f>
        <v>7.376</v>
      </c>
      <c r="F531" t="s">
        <v>2390</v>
      </c>
      <c r="G531" t="s">
        <v>1088</v>
      </c>
      <c r="I531">
        <v>2.3410000000000002</v>
      </c>
    </row>
    <row r="532" spans="1:9" ht="15" customHeight="1" x14ac:dyDescent="0.15">
      <c r="A532" s="6"/>
      <c r="D532" t="s">
        <v>90</v>
      </c>
      <c r="E532" t="str">
        <f>E154&amp;".377"</f>
        <v>7.377</v>
      </c>
      <c r="F532" t="s">
        <v>2391</v>
      </c>
      <c r="G532" t="s">
        <v>1088</v>
      </c>
      <c r="I532">
        <v>22.64</v>
      </c>
    </row>
    <row r="533" spans="1:9" ht="15" customHeight="1" x14ac:dyDescent="0.15">
      <c r="A533" s="6"/>
      <c r="D533" t="s">
        <v>90</v>
      </c>
      <c r="E533" t="str">
        <f>E154&amp;".378"</f>
        <v>7.378</v>
      </c>
      <c r="F533" t="s">
        <v>2392</v>
      </c>
      <c r="G533" t="s">
        <v>1088</v>
      </c>
      <c r="I533">
        <v>10</v>
      </c>
    </row>
    <row r="534" spans="1:9" ht="15" customHeight="1" x14ac:dyDescent="0.15">
      <c r="A534" s="6"/>
      <c r="D534" t="s">
        <v>90</v>
      </c>
      <c r="E534" t="str">
        <f>E154&amp;".379"</f>
        <v>7.379</v>
      </c>
      <c r="F534" t="s">
        <v>2393</v>
      </c>
      <c r="G534" t="s">
        <v>1088</v>
      </c>
      <c r="I534">
        <v>73.938000000000002</v>
      </c>
    </row>
    <row r="535" spans="1:9" ht="15" customHeight="1" x14ac:dyDescent="0.15">
      <c r="A535" s="6"/>
      <c r="D535" t="s">
        <v>90</v>
      </c>
      <c r="E535" t="str">
        <f>E154&amp;".380"</f>
        <v>7.380</v>
      </c>
      <c r="F535" t="s">
        <v>2394</v>
      </c>
      <c r="G535" t="s">
        <v>1088</v>
      </c>
      <c r="I535">
        <v>1.032</v>
      </c>
    </row>
    <row r="536" spans="1:9" ht="15" customHeight="1" x14ac:dyDescent="0.15">
      <c r="A536" s="6"/>
      <c r="D536" t="s">
        <v>90</v>
      </c>
      <c r="E536" t="str">
        <f>E154&amp;".381"</f>
        <v>7.381</v>
      </c>
      <c r="F536" t="s">
        <v>2395</v>
      </c>
      <c r="G536" t="s">
        <v>1088</v>
      </c>
      <c r="I536">
        <v>3.2</v>
      </c>
    </row>
    <row r="537" spans="1:9" ht="15" customHeight="1" x14ac:dyDescent="0.15">
      <c r="A537" s="6"/>
      <c r="D537" t="s">
        <v>90</v>
      </c>
      <c r="E537" t="str">
        <f>E154&amp;".382"</f>
        <v>7.382</v>
      </c>
      <c r="F537" t="s">
        <v>2396</v>
      </c>
      <c r="G537" t="s">
        <v>1088</v>
      </c>
      <c r="I537">
        <v>7.3579999999999997</v>
      </c>
    </row>
    <row r="538" spans="1:9" ht="15" customHeight="1" x14ac:dyDescent="0.15">
      <c r="A538" s="6"/>
      <c r="D538" t="s">
        <v>90</v>
      </c>
      <c r="E538" t="str">
        <f>E154&amp;".383"</f>
        <v>7.383</v>
      </c>
      <c r="F538" t="s">
        <v>2397</v>
      </c>
      <c r="G538" t="s">
        <v>1088</v>
      </c>
      <c r="I538">
        <v>22.356999999999999</v>
      </c>
    </row>
    <row r="539" spans="1:9" ht="15" customHeight="1" x14ac:dyDescent="0.15">
      <c r="A539" s="6"/>
      <c r="D539" t="s">
        <v>90</v>
      </c>
      <c r="E539" t="str">
        <f>E154&amp;".384"</f>
        <v>7.384</v>
      </c>
      <c r="F539" t="s">
        <v>2398</v>
      </c>
      <c r="G539" t="s">
        <v>1088</v>
      </c>
      <c r="I539">
        <v>2.58</v>
      </c>
    </row>
    <row r="540" spans="1:9" ht="15" customHeight="1" x14ac:dyDescent="0.15">
      <c r="A540" s="6"/>
      <c r="D540" t="s">
        <v>90</v>
      </c>
      <c r="E540" t="str">
        <f>E154&amp;".385"</f>
        <v>7.385</v>
      </c>
      <c r="F540" t="s">
        <v>2399</v>
      </c>
      <c r="G540" t="s">
        <v>1088</v>
      </c>
      <c r="I540">
        <v>2.5</v>
      </c>
    </row>
    <row r="541" spans="1:9" ht="15" customHeight="1" x14ac:dyDescent="0.15">
      <c r="A541" s="6"/>
      <c r="D541" t="s">
        <v>90</v>
      </c>
      <c r="E541" t="str">
        <f>E154&amp;".386"</f>
        <v>7.386</v>
      </c>
      <c r="F541" t="s">
        <v>2400</v>
      </c>
      <c r="G541" t="s">
        <v>1088</v>
      </c>
      <c r="I541">
        <v>0.32800000000000001</v>
      </c>
    </row>
    <row r="542" spans="1:9" ht="15" customHeight="1" x14ac:dyDescent="0.15">
      <c r="A542" s="6"/>
      <c r="D542" t="s">
        <v>90</v>
      </c>
      <c r="E542" t="str">
        <f>E154&amp;".387"</f>
        <v>7.387</v>
      </c>
      <c r="F542" t="s">
        <v>2401</v>
      </c>
      <c r="G542" t="s">
        <v>1088</v>
      </c>
      <c r="I542">
        <v>40</v>
      </c>
    </row>
    <row r="543" spans="1:9" ht="15" customHeight="1" x14ac:dyDescent="0.15">
      <c r="A543" s="6"/>
      <c r="D543" t="s">
        <v>90</v>
      </c>
      <c r="E543" t="str">
        <f>E154&amp;".388"</f>
        <v>7.388</v>
      </c>
      <c r="F543" t="s">
        <v>2402</v>
      </c>
      <c r="G543" t="s">
        <v>1088</v>
      </c>
      <c r="I543">
        <v>0.51600000000000001</v>
      </c>
    </row>
    <row r="544" spans="1:9" ht="15" customHeight="1" x14ac:dyDescent="0.15">
      <c r="A544" s="6"/>
      <c r="D544" t="s">
        <v>90</v>
      </c>
      <c r="E544" t="str">
        <f>E154&amp;".389"</f>
        <v>7.389</v>
      </c>
      <c r="F544" t="s">
        <v>2403</v>
      </c>
      <c r="G544" t="s">
        <v>1088</v>
      </c>
      <c r="I544">
        <v>0.24099999999999999</v>
      </c>
    </row>
    <row r="545" spans="1:9" ht="15" customHeight="1" x14ac:dyDescent="0.15">
      <c r="A545" s="6"/>
      <c r="D545" t="s">
        <v>90</v>
      </c>
      <c r="E545" t="str">
        <f>E154&amp;".390"</f>
        <v>7.390</v>
      </c>
      <c r="F545" t="s">
        <v>2404</v>
      </c>
      <c r="G545" t="s">
        <v>1088</v>
      </c>
      <c r="I545">
        <v>0.68</v>
      </c>
    </row>
    <row r="546" spans="1:9" ht="15" customHeight="1" x14ac:dyDescent="0.15">
      <c r="A546" s="6"/>
      <c r="D546" t="s">
        <v>90</v>
      </c>
      <c r="E546" t="str">
        <f>E154&amp;".391"</f>
        <v>7.391</v>
      </c>
      <c r="F546" t="s">
        <v>2405</v>
      </c>
      <c r="G546" t="s">
        <v>1088</v>
      </c>
      <c r="I546">
        <v>0.24099999999999999</v>
      </c>
    </row>
    <row r="547" spans="1:9" ht="15" customHeight="1" x14ac:dyDescent="0.15">
      <c r="A547" s="6"/>
      <c r="D547" t="s">
        <v>90</v>
      </c>
      <c r="E547" t="str">
        <f>E154&amp;".392"</f>
        <v>7.392</v>
      </c>
      <c r="F547" t="s">
        <v>2406</v>
      </c>
      <c r="G547" t="s">
        <v>1088</v>
      </c>
      <c r="I547">
        <v>0.42</v>
      </c>
    </row>
    <row r="548" spans="1:9" ht="15" customHeight="1" x14ac:dyDescent="0.15">
      <c r="A548" s="6"/>
      <c r="D548" t="s">
        <v>90</v>
      </c>
      <c r="E548" t="str">
        <f>E154&amp;".393"</f>
        <v>7.393</v>
      </c>
      <c r="F548" t="s">
        <v>2407</v>
      </c>
      <c r="G548" t="s">
        <v>1088</v>
      </c>
      <c r="I548">
        <v>0.24099999999999999</v>
      </c>
    </row>
    <row r="549" spans="1:9" ht="15" customHeight="1" x14ac:dyDescent="0.15">
      <c r="A549" s="6"/>
      <c r="D549" t="s">
        <v>90</v>
      </c>
      <c r="E549" t="str">
        <f>E154&amp;".394"</f>
        <v>7.394</v>
      </c>
      <c r="F549" t="s">
        <v>2408</v>
      </c>
      <c r="G549" t="s">
        <v>1088</v>
      </c>
      <c r="I549">
        <v>9.6219999999999999</v>
      </c>
    </row>
    <row r="550" spans="1:9" ht="15" customHeight="1" x14ac:dyDescent="0.15">
      <c r="A550" s="6"/>
      <c r="D550" t="s">
        <v>90</v>
      </c>
      <c r="E550" t="str">
        <f>E154&amp;".395"</f>
        <v>7.395</v>
      </c>
      <c r="F550" t="s">
        <v>2409</v>
      </c>
      <c r="G550" t="s">
        <v>1088</v>
      </c>
      <c r="I550">
        <v>2.1000000000000001E-2</v>
      </c>
    </row>
    <row r="551" spans="1:9" ht="15" customHeight="1" x14ac:dyDescent="0.15">
      <c r="A551" s="6"/>
      <c r="D551" t="s">
        <v>90</v>
      </c>
      <c r="E551" t="str">
        <f>E154&amp;".396"</f>
        <v>7.396</v>
      </c>
      <c r="F551" t="s">
        <v>2410</v>
      </c>
      <c r="G551" t="s">
        <v>1088</v>
      </c>
      <c r="I551">
        <v>0.49</v>
      </c>
    </row>
    <row r="552" spans="1:9" ht="15" customHeight="1" x14ac:dyDescent="0.15">
      <c r="A552" s="6"/>
      <c r="D552" t="s">
        <v>90</v>
      </c>
      <c r="E552" t="str">
        <f>E154&amp;".397"</f>
        <v>7.397</v>
      </c>
      <c r="F552" t="s">
        <v>2411</v>
      </c>
      <c r="G552" t="s">
        <v>1088</v>
      </c>
      <c r="I552">
        <v>0.46800000000000003</v>
      </c>
    </row>
    <row r="553" spans="1:9" ht="15" customHeight="1" x14ac:dyDescent="0.15">
      <c r="A553" s="6"/>
      <c r="D553" t="s">
        <v>90</v>
      </c>
      <c r="E553" t="str">
        <f>E154&amp;".398"</f>
        <v>7.398</v>
      </c>
      <c r="F553" t="s">
        <v>2412</v>
      </c>
      <c r="G553" t="s">
        <v>1088</v>
      </c>
      <c r="I553">
        <v>0.52800000000000002</v>
      </c>
    </row>
    <row r="554" spans="1:9" ht="15" customHeight="1" x14ac:dyDescent="0.15">
      <c r="A554" s="6"/>
      <c r="D554" t="s">
        <v>90</v>
      </c>
      <c r="E554" t="str">
        <f>E154&amp;".399"</f>
        <v>7.399</v>
      </c>
      <c r="F554" t="s">
        <v>2413</v>
      </c>
      <c r="G554" t="s">
        <v>1088</v>
      </c>
      <c r="I554">
        <v>4.1000000000000002E-2</v>
      </c>
    </row>
    <row r="555" spans="1:9" ht="15" customHeight="1" x14ac:dyDescent="0.15">
      <c r="A555" s="6"/>
      <c r="D555" t="s">
        <v>90</v>
      </c>
      <c r="E555" t="str">
        <f>E154&amp;".400"</f>
        <v>7.400</v>
      </c>
      <c r="F555" t="s">
        <v>2414</v>
      </c>
      <c r="G555" t="s">
        <v>1088</v>
      </c>
      <c r="I555">
        <v>33.96</v>
      </c>
    </row>
    <row r="556" spans="1:9" ht="15" customHeight="1" x14ac:dyDescent="0.15">
      <c r="A556" s="6"/>
      <c r="D556" t="s">
        <v>90</v>
      </c>
      <c r="E556" t="str">
        <f>E154&amp;".401"</f>
        <v>7.401</v>
      </c>
      <c r="F556" t="s">
        <v>2415</v>
      </c>
      <c r="G556" t="s">
        <v>1088</v>
      </c>
      <c r="I556">
        <v>1.032</v>
      </c>
    </row>
    <row r="557" spans="1:9" ht="15" customHeight="1" x14ac:dyDescent="0.15">
      <c r="A557" s="6"/>
      <c r="D557" t="s">
        <v>90</v>
      </c>
      <c r="E557" t="str">
        <f>E154&amp;".402"</f>
        <v>7.402</v>
      </c>
      <c r="F557" t="s">
        <v>2416</v>
      </c>
      <c r="G557" t="s">
        <v>1088</v>
      </c>
      <c r="I557">
        <v>0.17199999999999999</v>
      </c>
    </row>
    <row r="558" spans="1:9" ht="15" customHeight="1" x14ac:dyDescent="0.15">
      <c r="A558" s="6"/>
      <c r="D558" t="s">
        <v>90</v>
      </c>
      <c r="E558" t="str">
        <f>E154&amp;".403"</f>
        <v>7.403</v>
      </c>
      <c r="F558" t="s">
        <v>2417</v>
      </c>
      <c r="G558" t="s">
        <v>1088</v>
      </c>
      <c r="I558">
        <v>13.536</v>
      </c>
    </row>
    <row r="559" spans="1:9" ht="15" customHeight="1" x14ac:dyDescent="0.15">
      <c r="A559" s="6"/>
      <c r="D559" t="s">
        <v>90</v>
      </c>
      <c r="E559" t="str">
        <f>E154&amp;".404"</f>
        <v>7.404</v>
      </c>
      <c r="F559" t="s">
        <v>2418</v>
      </c>
      <c r="G559" t="s">
        <v>1088</v>
      </c>
      <c r="I559">
        <v>14.507999999999999</v>
      </c>
    </row>
    <row r="560" spans="1:9" ht="15" customHeight="1" x14ac:dyDescent="0.15">
      <c r="A560" s="6"/>
      <c r="D560" t="s">
        <v>90</v>
      </c>
      <c r="E560" t="str">
        <f>E154&amp;".405"</f>
        <v>7.405</v>
      </c>
      <c r="F560" t="s">
        <v>2419</v>
      </c>
      <c r="G560" t="s">
        <v>1088</v>
      </c>
      <c r="I560">
        <v>0.95</v>
      </c>
    </row>
    <row r="561" spans="1:9" ht="15" customHeight="1" x14ac:dyDescent="0.15">
      <c r="A561" s="6"/>
      <c r="D561" t="s">
        <v>90</v>
      </c>
      <c r="E561" t="str">
        <f>E154&amp;".406"</f>
        <v>7.406</v>
      </c>
      <c r="F561" t="s">
        <v>2420</v>
      </c>
      <c r="G561" t="s">
        <v>1088</v>
      </c>
      <c r="I561">
        <v>0.43</v>
      </c>
    </row>
    <row r="562" spans="1:9" ht="15" customHeight="1" x14ac:dyDescent="0.15">
      <c r="A562" s="6"/>
      <c r="D562" t="s">
        <v>90</v>
      </c>
      <c r="E562" t="str">
        <f>E154&amp;".407"</f>
        <v>7.407</v>
      </c>
      <c r="F562" t="s">
        <v>2421</v>
      </c>
      <c r="G562" t="s">
        <v>1088</v>
      </c>
      <c r="I562">
        <v>0.88400000000000001</v>
      </c>
    </row>
    <row r="563" spans="1:9" ht="15" customHeight="1" x14ac:dyDescent="0.15">
      <c r="A563" s="6"/>
      <c r="D563" t="s">
        <v>90</v>
      </c>
      <c r="E563" t="str">
        <f>E154&amp;".408"</f>
        <v>7.408</v>
      </c>
      <c r="F563" t="s">
        <v>2422</v>
      </c>
      <c r="G563" t="s">
        <v>1088</v>
      </c>
      <c r="I563">
        <v>3.44</v>
      </c>
    </row>
    <row r="564" spans="1:9" ht="15" customHeight="1" x14ac:dyDescent="0.15">
      <c r="A564" s="6"/>
      <c r="D564" t="s">
        <v>90</v>
      </c>
      <c r="E564" t="str">
        <f>E154&amp;".409"</f>
        <v>7.409</v>
      </c>
      <c r="F564" t="s">
        <v>2423</v>
      </c>
      <c r="G564" t="s">
        <v>1088</v>
      </c>
      <c r="I564">
        <v>0.68799999999999994</v>
      </c>
    </row>
    <row r="565" spans="1:9" ht="15" customHeight="1" x14ac:dyDescent="0.15">
      <c r="A565" s="6"/>
      <c r="D565" t="s">
        <v>90</v>
      </c>
      <c r="E565" t="str">
        <f>E154&amp;".410"</f>
        <v>7.410</v>
      </c>
      <c r="F565" t="s">
        <v>2424</v>
      </c>
      <c r="G565" t="s">
        <v>1088</v>
      </c>
      <c r="I565">
        <v>1.72</v>
      </c>
    </row>
    <row r="566" spans="1:9" ht="15" customHeight="1" x14ac:dyDescent="0.15">
      <c r="A566" s="6"/>
      <c r="D566" t="s">
        <v>90</v>
      </c>
      <c r="E566" t="str">
        <f>E154&amp;".411"</f>
        <v>7.411</v>
      </c>
      <c r="F566" t="s">
        <v>2425</v>
      </c>
      <c r="G566" t="s">
        <v>1088</v>
      </c>
      <c r="I566">
        <v>2.2629999999999999</v>
      </c>
    </row>
    <row r="567" spans="1:9" ht="15" customHeight="1" x14ac:dyDescent="0.15">
      <c r="A567" s="6"/>
      <c r="D567" t="s">
        <v>90</v>
      </c>
      <c r="E567" t="str">
        <f>E154&amp;".412"</f>
        <v>7.412</v>
      </c>
      <c r="F567" t="s">
        <v>2426</v>
      </c>
      <c r="G567" t="s">
        <v>1088</v>
      </c>
      <c r="I567">
        <v>2.4079999999999999</v>
      </c>
    </row>
    <row r="568" spans="1:9" ht="15" customHeight="1" x14ac:dyDescent="0.15">
      <c r="A568" s="6"/>
      <c r="D568" t="s">
        <v>90</v>
      </c>
      <c r="E568" t="str">
        <f>E154&amp;".413"</f>
        <v>7.413</v>
      </c>
      <c r="F568" t="s">
        <v>2427</v>
      </c>
      <c r="G568" t="s">
        <v>1088</v>
      </c>
      <c r="I568">
        <v>1.08</v>
      </c>
    </row>
    <row r="569" spans="1:9" ht="15" customHeight="1" x14ac:dyDescent="0.15">
      <c r="A569" s="6"/>
      <c r="D569" t="s">
        <v>90</v>
      </c>
      <c r="E569" t="str">
        <f>E154&amp;".414"</f>
        <v>7.414</v>
      </c>
      <c r="F569" t="s">
        <v>2428</v>
      </c>
      <c r="G569" t="s">
        <v>1088</v>
      </c>
      <c r="I569">
        <v>1.55</v>
      </c>
    </row>
    <row r="570" spans="1:9" ht="15" customHeight="1" x14ac:dyDescent="0.15">
      <c r="A570" s="6"/>
      <c r="D570" t="s">
        <v>90</v>
      </c>
      <c r="E570" t="str">
        <f>E154&amp;".415"</f>
        <v>7.415</v>
      </c>
      <c r="F570" t="s">
        <v>2429</v>
      </c>
      <c r="G570" t="s">
        <v>1088</v>
      </c>
      <c r="I570">
        <v>1.08</v>
      </c>
    </row>
    <row r="571" spans="1:9" ht="15" customHeight="1" x14ac:dyDescent="0.15">
      <c r="A571" s="6"/>
      <c r="D571" t="s">
        <v>90</v>
      </c>
      <c r="E571" t="str">
        <f>E154&amp;".416"</f>
        <v>7.416</v>
      </c>
      <c r="F571" t="s">
        <v>2430</v>
      </c>
      <c r="G571" t="s">
        <v>1088</v>
      </c>
      <c r="I571">
        <v>0.88</v>
      </c>
    </row>
    <row r="572" spans="1:9" ht="15" customHeight="1" x14ac:dyDescent="0.15">
      <c r="A572" s="6"/>
      <c r="D572" t="s">
        <v>90</v>
      </c>
      <c r="E572" t="str">
        <f>E154&amp;".417"</f>
        <v>7.417</v>
      </c>
      <c r="F572" t="s">
        <v>2431</v>
      </c>
      <c r="G572" t="s">
        <v>1088</v>
      </c>
      <c r="I572">
        <v>8.5999999999999993E-2</v>
      </c>
    </row>
    <row r="573" spans="1:9" ht="15" customHeight="1" x14ac:dyDescent="0.15">
      <c r="A573" s="6"/>
      <c r="D573" t="s">
        <v>90</v>
      </c>
      <c r="E573" t="str">
        <f>E154&amp;".418"</f>
        <v>7.418</v>
      </c>
      <c r="F573" t="s">
        <v>2432</v>
      </c>
      <c r="G573" t="s">
        <v>1088</v>
      </c>
      <c r="I573">
        <v>5.8000000000000003E-2</v>
      </c>
    </row>
    <row r="574" spans="1:9" ht="15" customHeight="1" x14ac:dyDescent="0.15">
      <c r="A574" s="6"/>
      <c r="D574" t="s">
        <v>90</v>
      </c>
      <c r="E574" t="str">
        <f>E154&amp;".419"</f>
        <v>7.419</v>
      </c>
      <c r="F574" t="s">
        <v>2433</v>
      </c>
      <c r="G574" t="s">
        <v>1088</v>
      </c>
      <c r="I574">
        <v>8.1</v>
      </c>
    </row>
    <row r="575" spans="1:9" ht="15" customHeight="1" x14ac:dyDescent="0.15">
      <c r="A575" s="6"/>
      <c r="D575" t="s">
        <v>90</v>
      </c>
      <c r="E575" t="str">
        <f>E154&amp;".420"</f>
        <v>7.420</v>
      </c>
      <c r="F575" t="s">
        <v>2434</v>
      </c>
      <c r="G575" t="s">
        <v>1088</v>
      </c>
      <c r="I575">
        <v>3.88</v>
      </c>
    </row>
    <row r="576" spans="1:9" ht="15" customHeight="1" x14ac:dyDescent="0.15">
      <c r="A576" s="6"/>
      <c r="D576" t="s">
        <v>90</v>
      </c>
      <c r="E576" t="str">
        <f>E154&amp;".421"</f>
        <v>7.421</v>
      </c>
      <c r="F576" t="s">
        <v>2435</v>
      </c>
      <c r="G576" t="s">
        <v>1088</v>
      </c>
      <c r="I576">
        <v>28.98</v>
      </c>
    </row>
    <row r="577" spans="1:9" ht="15" customHeight="1" x14ac:dyDescent="0.15">
      <c r="A577" s="6"/>
      <c r="D577" t="s">
        <v>90</v>
      </c>
      <c r="E577" t="str">
        <f>E154&amp;".422"</f>
        <v>7.422</v>
      </c>
      <c r="F577" t="s">
        <v>2436</v>
      </c>
      <c r="G577" t="s">
        <v>1088</v>
      </c>
      <c r="I577">
        <v>1.44</v>
      </c>
    </row>
    <row r="578" spans="1:9" ht="15" customHeight="1" x14ac:dyDescent="0.15">
      <c r="A578" s="6"/>
      <c r="D578" t="s">
        <v>90</v>
      </c>
      <c r="E578" t="str">
        <f>E154&amp;".423"</f>
        <v>7.423</v>
      </c>
      <c r="F578" t="s">
        <v>2437</v>
      </c>
      <c r="G578" t="s">
        <v>1088</v>
      </c>
      <c r="I578">
        <v>0.309</v>
      </c>
    </row>
    <row r="579" spans="1:9" ht="15" customHeight="1" x14ac:dyDescent="0.15">
      <c r="A579" s="6"/>
      <c r="D579" t="s">
        <v>90</v>
      </c>
      <c r="E579" t="str">
        <f>E154&amp;".424"</f>
        <v>7.424</v>
      </c>
      <c r="F579" t="s">
        <v>2438</v>
      </c>
      <c r="G579" t="s">
        <v>1088</v>
      </c>
      <c r="I579">
        <v>12.8</v>
      </c>
    </row>
    <row r="580" spans="1:9" ht="15" customHeight="1" x14ac:dyDescent="0.15">
      <c r="A580" s="6"/>
      <c r="D580" t="s">
        <v>90</v>
      </c>
      <c r="E580" t="str">
        <f>E154&amp;".425"</f>
        <v>7.425</v>
      </c>
      <c r="F580" t="s">
        <v>2439</v>
      </c>
      <c r="G580" t="s">
        <v>1088</v>
      </c>
      <c r="I580">
        <v>7.76</v>
      </c>
    </row>
    <row r="581" spans="1:9" ht="15" customHeight="1" x14ac:dyDescent="0.15">
      <c r="A581" s="6"/>
      <c r="D581" t="s">
        <v>90</v>
      </c>
      <c r="E581" t="str">
        <f>E154&amp;".426"</f>
        <v>7.426</v>
      </c>
      <c r="F581" t="s">
        <v>2440</v>
      </c>
      <c r="G581" t="s">
        <v>1088</v>
      </c>
      <c r="I581">
        <v>1.032</v>
      </c>
    </row>
    <row r="582" spans="1:9" ht="15" customHeight="1" x14ac:dyDescent="0.15">
      <c r="A582" s="6"/>
      <c r="D582" t="s">
        <v>90</v>
      </c>
      <c r="E582" t="str">
        <f>E154&amp;".427"</f>
        <v>7.427</v>
      </c>
      <c r="F582" t="s">
        <v>2441</v>
      </c>
      <c r="G582" t="s">
        <v>1088</v>
      </c>
      <c r="I582">
        <v>1.032</v>
      </c>
    </row>
    <row r="583" spans="1:9" ht="15" customHeight="1" x14ac:dyDescent="0.15">
      <c r="A583" s="6"/>
      <c r="D583" t="s">
        <v>90</v>
      </c>
      <c r="E583" t="str">
        <f>E154&amp;".428"</f>
        <v>7.428</v>
      </c>
      <c r="F583" t="s">
        <v>2442</v>
      </c>
      <c r="G583" t="s">
        <v>1088</v>
      </c>
      <c r="I583">
        <v>3.58</v>
      </c>
    </row>
    <row r="584" spans="1:9" ht="15" customHeight="1" x14ac:dyDescent="0.15">
      <c r="A584" s="6"/>
      <c r="D584" t="s">
        <v>90</v>
      </c>
      <c r="E584" t="str">
        <f>E154&amp;".429"</f>
        <v>7.429</v>
      </c>
      <c r="F584" t="s">
        <v>2443</v>
      </c>
      <c r="G584" t="s">
        <v>1088</v>
      </c>
      <c r="I584">
        <v>5.16</v>
      </c>
    </row>
    <row r="585" spans="1:9" ht="15" customHeight="1" x14ac:dyDescent="0.15">
      <c r="A585" s="6"/>
      <c r="D585" t="s">
        <v>90</v>
      </c>
      <c r="E585" t="str">
        <f>E154&amp;".430"</f>
        <v>7.430</v>
      </c>
      <c r="F585" t="s">
        <v>2444</v>
      </c>
      <c r="G585" t="s">
        <v>1088</v>
      </c>
      <c r="I585">
        <v>3.44</v>
      </c>
    </row>
    <row r="586" spans="1:9" ht="15" customHeight="1" x14ac:dyDescent="0.15">
      <c r="A586" s="6"/>
      <c r="D586" t="s">
        <v>90</v>
      </c>
      <c r="E586" t="str">
        <f>E154&amp;".431"</f>
        <v>7.431</v>
      </c>
      <c r="F586" t="s">
        <v>2445</v>
      </c>
      <c r="G586" t="s">
        <v>1088</v>
      </c>
      <c r="I586">
        <v>43.3</v>
      </c>
    </row>
    <row r="587" spans="1:9" ht="15" customHeight="1" x14ac:dyDescent="0.15">
      <c r="A587" s="6"/>
      <c r="D587" t="s">
        <v>90</v>
      </c>
      <c r="E587" t="str">
        <f>E154&amp;".432"</f>
        <v>7.432</v>
      </c>
      <c r="F587" t="s">
        <v>2446</v>
      </c>
      <c r="G587" t="s">
        <v>1088</v>
      </c>
      <c r="I587">
        <v>15.32</v>
      </c>
    </row>
    <row r="588" spans="1:9" ht="15" customHeight="1" x14ac:dyDescent="0.15">
      <c r="A588" s="6"/>
      <c r="D588" t="s">
        <v>90</v>
      </c>
      <c r="E588" t="str">
        <f>E154&amp;".433"</f>
        <v>7.433</v>
      </c>
      <c r="F588" t="s">
        <v>2447</v>
      </c>
      <c r="G588" t="s">
        <v>1088</v>
      </c>
      <c r="I588">
        <v>60</v>
      </c>
    </row>
    <row r="589" spans="1:9" ht="15" customHeight="1" x14ac:dyDescent="0.15">
      <c r="A589" s="6"/>
      <c r="D589" t="s">
        <v>90</v>
      </c>
      <c r="E589" t="str">
        <f>E154&amp;".434"</f>
        <v>7.434</v>
      </c>
      <c r="F589" t="s">
        <v>2448</v>
      </c>
      <c r="G589" t="s">
        <v>1088</v>
      </c>
      <c r="I589">
        <v>22.73</v>
      </c>
    </row>
    <row r="590" spans="1:9" ht="15" customHeight="1" x14ac:dyDescent="0.15">
      <c r="A590" s="6"/>
      <c r="D590" t="s">
        <v>90</v>
      </c>
      <c r="E590" t="str">
        <f>E154&amp;".435"</f>
        <v>7.435</v>
      </c>
      <c r="F590" t="s">
        <v>2449</v>
      </c>
      <c r="G590" t="s">
        <v>1088</v>
      </c>
      <c r="I590">
        <v>73.3</v>
      </c>
    </row>
    <row r="591" spans="1:9" ht="15" customHeight="1" x14ac:dyDescent="0.15">
      <c r="A591" s="6"/>
      <c r="D591" t="s">
        <v>90</v>
      </c>
      <c r="E591" t="str">
        <f>E154&amp;".436"</f>
        <v>7.436</v>
      </c>
      <c r="F591" t="s">
        <v>2450</v>
      </c>
      <c r="G591" t="s">
        <v>1088</v>
      </c>
      <c r="I591">
        <v>4.55</v>
      </c>
    </row>
    <row r="592" spans="1:9" ht="15" customHeight="1" x14ac:dyDescent="0.15">
      <c r="A592" s="6"/>
      <c r="D592" t="s">
        <v>90</v>
      </c>
      <c r="E592" t="str">
        <f>E154&amp;".437"</f>
        <v>7.437</v>
      </c>
      <c r="F592" t="s">
        <v>2451</v>
      </c>
      <c r="G592" t="s">
        <v>1088</v>
      </c>
      <c r="I592">
        <v>82.73</v>
      </c>
    </row>
    <row r="593" spans="1:9" ht="15" customHeight="1" x14ac:dyDescent="0.15">
      <c r="A593" s="6"/>
      <c r="D593" t="s">
        <v>90</v>
      </c>
      <c r="E593" t="str">
        <f>E154&amp;".438"</f>
        <v>7.438</v>
      </c>
      <c r="F593" t="s">
        <v>2452</v>
      </c>
      <c r="G593" t="s">
        <v>1088</v>
      </c>
      <c r="I593">
        <v>0.97599999999999998</v>
      </c>
    </row>
    <row r="594" spans="1:9" ht="15" customHeight="1" x14ac:dyDescent="0.15">
      <c r="A594" s="6"/>
      <c r="D594" t="s">
        <v>90</v>
      </c>
      <c r="E594" t="str">
        <f>E154&amp;".439"</f>
        <v>7.439</v>
      </c>
      <c r="F594" t="s">
        <v>2453</v>
      </c>
      <c r="G594" t="s">
        <v>1088</v>
      </c>
      <c r="I594">
        <v>0.38800000000000001</v>
      </c>
    </row>
    <row r="595" spans="1:9" ht="15" customHeight="1" x14ac:dyDescent="0.15">
      <c r="A595" s="6"/>
      <c r="D595" t="s">
        <v>90</v>
      </c>
      <c r="E595" t="str">
        <f>E154&amp;".440"</f>
        <v>7.440</v>
      </c>
      <c r="F595" t="s">
        <v>2454</v>
      </c>
      <c r="G595" t="s">
        <v>1088</v>
      </c>
      <c r="I595">
        <v>0.14000000000000001</v>
      </c>
    </row>
    <row r="596" spans="1:9" ht="15" customHeight="1" x14ac:dyDescent="0.15">
      <c r="A596" s="6"/>
      <c r="D596" t="s">
        <v>90</v>
      </c>
      <c r="E596" t="str">
        <f>E154&amp;".441"</f>
        <v>7.441</v>
      </c>
      <c r="F596" t="s">
        <v>2455</v>
      </c>
      <c r="G596" t="s">
        <v>1088</v>
      </c>
      <c r="I596">
        <v>0.498</v>
      </c>
    </row>
    <row r="597" spans="1:9" ht="15" customHeight="1" x14ac:dyDescent="0.15">
      <c r="A597" s="6"/>
      <c r="D597" t="s">
        <v>90</v>
      </c>
      <c r="E597" t="str">
        <f>E154&amp;".442"</f>
        <v>7.442</v>
      </c>
      <c r="F597" t="s">
        <v>2456</v>
      </c>
      <c r="G597" t="s">
        <v>1088</v>
      </c>
      <c r="I597">
        <v>1.08</v>
      </c>
    </row>
    <row r="598" spans="1:9" ht="15" customHeight="1" x14ac:dyDescent="0.15">
      <c r="A598" s="6"/>
      <c r="D598" t="s">
        <v>90</v>
      </c>
      <c r="E598" t="str">
        <f>E154&amp;".443"</f>
        <v>7.443</v>
      </c>
      <c r="F598" t="s">
        <v>2457</v>
      </c>
      <c r="G598" t="s">
        <v>1088</v>
      </c>
      <c r="I598">
        <v>1.032</v>
      </c>
    </row>
    <row r="599" spans="1:9" ht="15" customHeight="1" x14ac:dyDescent="0.15">
      <c r="A599" s="6"/>
      <c r="D599" t="s">
        <v>90</v>
      </c>
      <c r="E599" t="str">
        <f>E154&amp;".444"</f>
        <v>7.444</v>
      </c>
      <c r="F599" t="s">
        <v>2458</v>
      </c>
      <c r="G599" t="s">
        <v>1088</v>
      </c>
      <c r="I599">
        <v>0.13800000000000001</v>
      </c>
    </row>
    <row r="600" spans="1:9" ht="15" customHeight="1" x14ac:dyDescent="0.15">
      <c r="A600" s="6"/>
      <c r="D600" t="s">
        <v>90</v>
      </c>
      <c r="E600" t="str">
        <f>E154&amp;".445"</f>
        <v>7.445</v>
      </c>
      <c r="F600" t="s">
        <v>2459</v>
      </c>
      <c r="G600" t="s">
        <v>1088</v>
      </c>
      <c r="I600">
        <v>6.4000000000000001E-2</v>
      </c>
    </row>
    <row r="601" spans="1:9" ht="15" customHeight="1" x14ac:dyDescent="0.15">
      <c r="A601" s="6"/>
      <c r="D601" t="s">
        <v>90</v>
      </c>
      <c r="E601" t="str">
        <f>E154&amp;".446"</f>
        <v>7.446</v>
      </c>
      <c r="F601" t="s">
        <v>2460</v>
      </c>
      <c r="G601" t="s">
        <v>1088</v>
      </c>
      <c r="I601">
        <v>0.55400000000000005</v>
      </c>
    </row>
    <row r="602" spans="1:9" ht="15" customHeight="1" x14ac:dyDescent="0.15">
      <c r="A602" s="6"/>
      <c r="D602" t="s">
        <v>90</v>
      </c>
      <c r="E602" t="str">
        <f>E154&amp;".447"</f>
        <v>7.447</v>
      </c>
      <c r="F602" t="s">
        <v>2461</v>
      </c>
      <c r="G602" t="s">
        <v>1088</v>
      </c>
      <c r="I602">
        <v>1.431</v>
      </c>
    </row>
    <row r="603" spans="1:9" ht="15" customHeight="1" x14ac:dyDescent="0.15">
      <c r="A603" s="6"/>
      <c r="D603" t="s">
        <v>90</v>
      </c>
      <c r="E603" t="str">
        <f>E154&amp;".448"</f>
        <v>7.448</v>
      </c>
      <c r="F603" t="s">
        <v>2462</v>
      </c>
      <c r="G603" t="s">
        <v>1088</v>
      </c>
      <c r="I603">
        <v>0.71399999999999997</v>
      </c>
    </row>
    <row r="604" spans="1:9" ht="15" customHeight="1" x14ac:dyDescent="0.15">
      <c r="A604" s="6"/>
      <c r="D604" t="s">
        <v>90</v>
      </c>
      <c r="E604" t="str">
        <f>E154&amp;".449"</f>
        <v>7.449</v>
      </c>
      <c r="F604" t="s">
        <v>2463</v>
      </c>
      <c r="G604" t="s">
        <v>1088</v>
      </c>
      <c r="I604">
        <v>0.51600000000000001</v>
      </c>
    </row>
    <row r="605" spans="1:9" ht="15" customHeight="1" x14ac:dyDescent="0.15">
      <c r="A605" s="6"/>
      <c r="D605" t="s">
        <v>90</v>
      </c>
      <c r="E605" t="str">
        <f>E154&amp;".450"</f>
        <v>7.450</v>
      </c>
      <c r="F605" t="s">
        <v>2464</v>
      </c>
      <c r="G605" t="s">
        <v>1088</v>
      </c>
      <c r="I605">
        <v>0.24099999999999999</v>
      </c>
    </row>
    <row r="606" spans="1:9" ht="15" customHeight="1" x14ac:dyDescent="0.15">
      <c r="A606" s="6"/>
      <c r="D606" t="s">
        <v>90</v>
      </c>
      <c r="E606" t="str">
        <f>E154&amp;".451"</f>
        <v>7.451</v>
      </c>
      <c r="F606" t="s">
        <v>2465</v>
      </c>
      <c r="G606" t="s">
        <v>1088</v>
      </c>
      <c r="I606">
        <v>0.40699999999999997</v>
      </c>
    </row>
    <row r="607" spans="1:9" ht="15" customHeight="1" x14ac:dyDescent="0.15">
      <c r="A607" s="6"/>
      <c r="D607" t="s">
        <v>90</v>
      </c>
      <c r="E607" t="str">
        <f>E154&amp;".452"</f>
        <v>7.452</v>
      </c>
      <c r="F607" t="s">
        <v>2466</v>
      </c>
      <c r="G607" t="s">
        <v>1088</v>
      </c>
      <c r="I607">
        <v>0.75</v>
      </c>
    </row>
    <row r="608" spans="1:9" ht="15" customHeight="1" x14ac:dyDescent="0.15">
      <c r="A608" s="6"/>
      <c r="D608" t="s">
        <v>90</v>
      </c>
      <c r="E608" t="str">
        <f>E154&amp;".453"</f>
        <v>7.453</v>
      </c>
      <c r="F608" t="s">
        <v>2467</v>
      </c>
      <c r="G608" t="s">
        <v>1088</v>
      </c>
      <c r="I608">
        <v>0.68700000000000006</v>
      </c>
    </row>
    <row r="609" spans="1:9" ht="15" customHeight="1" x14ac:dyDescent="0.15">
      <c r="A609" s="6"/>
      <c r="D609" t="s">
        <v>90</v>
      </c>
      <c r="E609" t="str">
        <f>E154&amp;".454"</f>
        <v>7.454</v>
      </c>
      <c r="F609" t="s">
        <v>2468</v>
      </c>
      <c r="G609" t="s">
        <v>1088</v>
      </c>
      <c r="I609">
        <v>0.35199999999999998</v>
      </c>
    </row>
    <row r="610" spans="1:9" ht="15" customHeight="1" x14ac:dyDescent="0.15">
      <c r="A610" s="6"/>
      <c r="D610" t="s">
        <v>90</v>
      </c>
      <c r="E610" t="str">
        <f>E154&amp;".455"</f>
        <v>7.455</v>
      </c>
      <c r="F610" t="s">
        <v>2469</v>
      </c>
      <c r="G610" t="s">
        <v>1088</v>
      </c>
      <c r="I610">
        <v>0.28000000000000003</v>
      </c>
    </row>
    <row r="611" spans="1:9" ht="15" customHeight="1" x14ac:dyDescent="0.15">
      <c r="A611" s="6"/>
      <c r="D611" t="s">
        <v>90</v>
      </c>
      <c r="E611" t="str">
        <f>E154&amp;".456"</f>
        <v>7.456</v>
      </c>
      <c r="F611" t="s">
        <v>2470</v>
      </c>
      <c r="G611" t="s">
        <v>1088</v>
      </c>
      <c r="I611">
        <v>0.66300000000000003</v>
      </c>
    </row>
    <row r="612" spans="1:9" ht="15" customHeight="1" x14ac:dyDescent="0.15">
      <c r="A612" s="6"/>
      <c r="D612" t="s">
        <v>90</v>
      </c>
      <c r="E612" t="str">
        <f>E154&amp;".457"</f>
        <v>7.457</v>
      </c>
      <c r="F612" t="s">
        <v>2471</v>
      </c>
      <c r="G612" t="s">
        <v>1088</v>
      </c>
      <c r="I612">
        <v>11.16</v>
      </c>
    </row>
    <row r="613" spans="1:9" ht="15" customHeight="1" x14ac:dyDescent="0.15">
      <c r="A613" s="6"/>
      <c r="D613" t="s">
        <v>90</v>
      </c>
      <c r="E613" t="str">
        <f>E154&amp;".458"</f>
        <v>7.458</v>
      </c>
      <c r="F613" t="s">
        <v>2472</v>
      </c>
      <c r="G613" t="s">
        <v>1088</v>
      </c>
      <c r="I613">
        <v>3.44</v>
      </c>
    </row>
    <row r="614" spans="1:9" ht="15" customHeight="1" x14ac:dyDescent="0.15">
      <c r="A614" s="6"/>
      <c r="D614" t="s">
        <v>90</v>
      </c>
      <c r="E614" t="str">
        <f>E154&amp;".459"</f>
        <v>7.459</v>
      </c>
      <c r="F614" t="s">
        <v>2473</v>
      </c>
      <c r="G614" t="s">
        <v>1088</v>
      </c>
      <c r="I614">
        <v>1.08</v>
      </c>
    </row>
    <row r="615" spans="1:9" ht="15" customHeight="1" x14ac:dyDescent="0.15">
      <c r="A615" s="6"/>
      <c r="D615" t="s">
        <v>90</v>
      </c>
      <c r="E615" t="str">
        <f>E154&amp;".460"</f>
        <v>7.460</v>
      </c>
      <c r="F615" t="s">
        <v>2474</v>
      </c>
      <c r="G615" t="s">
        <v>1088</v>
      </c>
      <c r="I615">
        <v>0.51600000000000001</v>
      </c>
    </row>
    <row r="616" spans="1:9" ht="15" customHeight="1" x14ac:dyDescent="0.15">
      <c r="A616" s="6"/>
      <c r="D616" t="s">
        <v>90</v>
      </c>
      <c r="E616" t="str">
        <f>E154&amp;".461"</f>
        <v>7.461</v>
      </c>
      <c r="F616" t="s">
        <v>2475</v>
      </c>
      <c r="G616" t="s">
        <v>1088</v>
      </c>
      <c r="I616">
        <v>1.1719999999999999</v>
      </c>
    </row>
    <row r="617" spans="1:9" ht="15" customHeight="1" x14ac:dyDescent="0.15">
      <c r="A617" s="6"/>
      <c r="D617" t="s">
        <v>90</v>
      </c>
      <c r="E617" t="str">
        <f>E154&amp;".462"</f>
        <v>7.462</v>
      </c>
      <c r="F617" t="s">
        <v>2476</v>
      </c>
      <c r="G617" t="s">
        <v>1088</v>
      </c>
      <c r="I617">
        <v>6.45</v>
      </c>
    </row>
    <row r="618" spans="1:9" ht="15" customHeight="1" x14ac:dyDescent="0.15">
      <c r="A618" s="6"/>
      <c r="D618" t="s">
        <v>90</v>
      </c>
      <c r="E618" t="str">
        <f>E154&amp;".463"</f>
        <v>7.463</v>
      </c>
      <c r="F618" t="s">
        <v>2477</v>
      </c>
      <c r="G618" t="s">
        <v>1088</v>
      </c>
      <c r="I618">
        <v>0.48099999999999998</v>
      </c>
    </row>
    <row r="619" spans="1:9" ht="15" customHeight="1" x14ac:dyDescent="0.15">
      <c r="A619" s="6"/>
      <c r="D619" t="s">
        <v>90</v>
      </c>
      <c r="E619" t="str">
        <f>E154&amp;".464"</f>
        <v>7.464</v>
      </c>
      <c r="F619" t="s">
        <v>2478</v>
      </c>
      <c r="G619" t="s">
        <v>1088</v>
      </c>
      <c r="I619">
        <v>9</v>
      </c>
    </row>
    <row r="620" spans="1:9" ht="15" customHeight="1" x14ac:dyDescent="0.15">
      <c r="A620" s="6"/>
      <c r="D620" t="s">
        <v>90</v>
      </c>
      <c r="E620" t="str">
        <f>E154&amp;".465"</f>
        <v>7.465</v>
      </c>
      <c r="F620" t="s">
        <v>2479</v>
      </c>
      <c r="G620" t="s">
        <v>1088</v>
      </c>
      <c r="I620">
        <v>1.6</v>
      </c>
    </row>
    <row r="621" spans="1:9" ht="15" customHeight="1" x14ac:dyDescent="0.15">
      <c r="A621" s="6"/>
      <c r="D621" t="s">
        <v>90</v>
      </c>
      <c r="E621" t="str">
        <f>E154&amp;".466"</f>
        <v>7.466</v>
      </c>
      <c r="F621" t="s">
        <v>2480</v>
      </c>
      <c r="G621" t="s">
        <v>1088</v>
      </c>
      <c r="I621">
        <v>2.0699999999999998</v>
      </c>
    </row>
    <row r="622" spans="1:9" ht="15" customHeight="1" x14ac:dyDescent="0.15">
      <c r="A622" s="6"/>
      <c r="D622" t="s">
        <v>90</v>
      </c>
      <c r="E622" t="str">
        <f>E154&amp;".467"</f>
        <v>7.467</v>
      </c>
      <c r="F622" t="s">
        <v>2481</v>
      </c>
      <c r="G622" t="s">
        <v>1088</v>
      </c>
      <c r="I622">
        <v>3.0920000000000001</v>
      </c>
    </row>
    <row r="623" spans="1:9" ht="15" customHeight="1" x14ac:dyDescent="0.15">
      <c r="A623" s="6"/>
      <c r="D623" t="s">
        <v>90</v>
      </c>
      <c r="E623" t="str">
        <f>E154&amp;".468"</f>
        <v>7.468</v>
      </c>
      <c r="F623" t="s">
        <v>2482</v>
      </c>
      <c r="G623" t="s">
        <v>1088</v>
      </c>
      <c r="I623">
        <v>1.6</v>
      </c>
    </row>
    <row r="624" spans="1:9" ht="15" customHeight="1" x14ac:dyDescent="0.15">
      <c r="A624" s="6"/>
      <c r="D624" t="s">
        <v>90</v>
      </c>
      <c r="E624" t="str">
        <f>E154&amp;".469"</f>
        <v>7.469</v>
      </c>
      <c r="F624" t="s">
        <v>2483</v>
      </c>
      <c r="G624" t="s">
        <v>1088</v>
      </c>
      <c r="I624">
        <v>1.1399999999999999</v>
      </c>
    </row>
    <row r="625" spans="1:9" ht="15" customHeight="1" x14ac:dyDescent="0.15">
      <c r="A625" s="6"/>
      <c r="D625" t="s">
        <v>90</v>
      </c>
      <c r="E625" t="str">
        <f>E154&amp;".470"</f>
        <v>7.470</v>
      </c>
      <c r="F625" t="s">
        <v>2484</v>
      </c>
      <c r="G625" t="s">
        <v>1088</v>
      </c>
      <c r="I625">
        <v>1.62</v>
      </c>
    </row>
    <row r="626" spans="1:9" ht="15" customHeight="1" x14ac:dyDescent="0.15">
      <c r="A626" s="6"/>
      <c r="D626" t="s">
        <v>90</v>
      </c>
      <c r="E626" t="str">
        <f>E154&amp;".471"</f>
        <v>7.471</v>
      </c>
      <c r="F626" t="s">
        <v>2485</v>
      </c>
      <c r="G626" t="s">
        <v>1088</v>
      </c>
      <c r="I626">
        <v>1.08</v>
      </c>
    </row>
    <row r="627" spans="1:9" ht="15" customHeight="1" x14ac:dyDescent="0.15">
      <c r="A627" s="6"/>
      <c r="D627" t="s">
        <v>90</v>
      </c>
      <c r="E627" t="str">
        <f>E154&amp;".472"</f>
        <v>7.472</v>
      </c>
      <c r="F627" t="s">
        <v>2486</v>
      </c>
      <c r="G627" t="s">
        <v>1088</v>
      </c>
      <c r="I627">
        <v>1.2</v>
      </c>
    </row>
    <row r="628" spans="1:9" ht="15" customHeight="1" x14ac:dyDescent="0.15">
      <c r="A628" s="6"/>
      <c r="D628" t="s">
        <v>90</v>
      </c>
      <c r="E628" t="str">
        <f>E154&amp;".473"</f>
        <v>7.473</v>
      </c>
      <c r="F628" t="s">
        <v>2487</v>
      </c>
      <c r="G628" t="s">
        <v>1088</v>
      </c>
      <c r="I628">
        <v>2.7</v>
      </c>
    </row>
    <row r="629" spans="1:9" ht="15" customHeight="1" x14ac:dyDescent="0.15">
      <c r="A629" s="6"/>
      <c r="D629" t="s">
        <v>90</v>
      </c>
      <c r="E629" t="str">
        <f>E154&amp;".474"</f>
        <v>7.474</v>
      </c>
      <c r="F629" t="s">
        <v>2488</v>
      </c>
      <c r="G629" t="s">
        <v>1088</v>
      </c>
      <c r="I629">
        <v>0.51600000000000001</v>
      </c>
    </row>
    <row r="630" spans="1:9" ht="15" customHeight="1" x14ac:dyDescent="0.15">
      <c r="A630" s="6"/>
      <c r="D630" t="s">
        <v>90</v>
      </c>
      <c r="E630" t="str">
        <f>E154&amp;".475"</f>
        <v>7.475</v>
      </c>
      <c r="F630" t="s">
        <v>2489</v>
      </c>
      <c r="G630" t="s">
        <v>1088</v>
      </c>
      <c r="I630">
        <v>5.5039999999999996</v>
      </c>
    </row>
    <row r="631" spans="1:9" ht="15" customHeight="1" x14ac:dyDescent="0.15">
      <c r="A631" s="6"/>
      <c r="D631" t="s">
        <v>90</v>
      </c>
      <c r="E631" t="str">
        <f>E154&amp;".476"</f>
        <v>7.476</v>
      </c>
      <c r="F631" t="s">
        <v>2490</v>
      </c>
      <c r="G631" t="s">
        <v>1088</v>
      </c>
      <c r="I631">
        <v>3.58</v>
      </c>
    </row>
    <row r="632" spans="1:9" ht="15" customHeight="1" x14ac:dyDescent="0.15">
      <c r="A632" s="6"/>
      <c r="D632" t="s">
        <v>90</v>
      </c>
      <c r="E632" t="str">
        <f>E154&amp;".477"</f>
        <v>7.477</v>
      </c>
      <c r="F632" t="s">
        <v>2491</v>
      </c>
      <c r="G632" t="s">
        <v>1088</v>
      </c>
      <c r="I632">
        <v>1.2</v>
      </c>
    </row>
    <row r="633" spans="1:9" ht="15" customHeight="1" x14ac:dyDescent="0.15">
      <c r="A633" s="6"/>
      <c r="D633" t="s">
        <v>90</v>
      </c>
      <c r="E633" t="str">
        <f>E154&amp;".478"</f>
        <v>7.478</v>
      </c>
      <c r="F633" t="s">
        <v>2492</v>
      </c>
      <c r="G633" t="s">
        <v>1088</v>
      </c>
      <c r="I633">
        <v>1.55</v>
      </c>
    </row>
    <row r="634" spans="1:9" ht="15" customHeight="1" x14ac:dyDescent="0.15">
      <c r="A634" s="6"/>
      <c r="D634" t="s">
        <v>90</v>
      </c>
      <c r="E634" t="str">
        <f>E154&amp;".479"</f>
        <v>7.479</v>
      </c>
      <c r="F634" t="s">
        <v>2493</v>
      </c>
      <c r="G634" t="s">
        <v>1088</v>
      </c>
      <c r="I634">
        <v>0.27600000000000002</v>
      </c>
    </row>
    <row r="635" spans="1:9" ht="15" customHeight="1" x14ac:dyDescent="0.15">
      <c r="A635" s="6"/>
      <c r="D635" t="s">
        <v>90</v>
      </c>
      <c r="E635" t="str">
        <f>E154&amp;".480"</f>
        <v>7.480</v>
      </c>
      <c r="F635" t="s">
        <v>2494</v>
      </c>
      <c r="G635" t="s">
        <v>1088</v>
      </c>
      <c r="I635">
        <v>0.68</v>
      </c>
    </row>
    <row r="636" spans="1:9" ht="15" customHeight="1" x14ac:dyDescent="0.15">
      <c r="A636" s="6"/>
      <c r="D636" t="s">
        <v>90</v>
      </c>
      <c r="E636" t="str">
        <f>E154&amp;".481"</f>
        <v>7.481</v>
      </c>
      <c r="F636" t="s">
        <v>2495</v>
      </c>
      <c r="G636" t="s">
        <v>1088</v>
      </c>
      <c r="I636">
        <v>1.91</v>
      </c>
    </row>
    <row r="637" spans="1:9" ht="15" customHeight="1" x14ac:dyDescent="0.15">
      <c r="A637" s="6"/>
      <c r="D637" t="s">
        <v>90</v>
      </c>
      <c r="E637" t="str">
        <f>E154&amp;".482"</f>
        <v>7.482</v>
      </c>
      <c r="F637" t="s">
        <v>2496</v>
      </c>
      <c r="G637" t="s">
        <v>1088</v>
      </c>
      <c r="I637">
        <v>1.08</v>
      </c>
    </row>
    <row r="638" spans="1:9" ht="15" customHeight="1" x14ac:dyDescent="0.15">
      <c r="A638" s="6"/>
      <c r="D638" t="s">
        <v>90</v>
      </c>
      <c r="E638" t="str">
        <f>E154&amp;".483"</f>
        <v>7.483</v>
      </c>
      <c r="F638" t="s">
        <v>2497</v>
      </c>
      <c r="G638" t="s">
        <v>1088</v>
      </c>
      <c r="I638">
        <v>1.08</v>
      </c>
    </row>
    <row r="639" spans="1:9" ht="15" customHeight="1" x14ac:dyDescent="0.15">
      <c r="A639" s="6"/>
      <c r="D639" t="s">
        <v>90</v>
      </c>
      <c r="E639" t="str">
        <f>E154&amp;".484"</f>
        <v>7.484</v>
      </c>
      <c r="F639" t="s">
        <v>2498</v>
      </c>
      <c r="G639" t="s">
        <v>1088</v>
      </c>
      <c r="I639">
        <v>1.08</v>
      </c>
    </row>
    <row r="640" spans="1:9" ht="15" customHeight="1" x14ac:dyDescent="0.15">
      <c r="A640" s="6"/>
      <c r="D640" t="s">
        <v>90</v>
      </c>
      <c r="E640" t="str">
        <f>E154&amp;".485"</f>
        <v>7.485</v>
      </c>
      <c r="F640" t="s">
        <v>2499</v>
      </c>
      <c r="G640" t="s">
        <v>1088</v>
      </c>
      <c r="I640">
        <v>8.6</v>
      </c>
    </row>
    <row r="641" spans="1:9" ht="15" customHeight="1" x14ac:dyDescent="0.15">
      <c r="A641" s="6"/>
      <c r="D641" t="s">
        <v>90</v>
      </c>
      <c r="E641" t="str">
        <f>E154&amp;".486"</f>
        <v>7.486</v>
      </c>
      <c r="F641" t="s">
        <v>2500</v>
      </c>
      <c r="G641" t="s">
        <v>1088</v>
      </c>
      <c r="I641">
        <v>1.4</v>
      </c>
    </row>
    <row r="642" spans="1:9" ht="15" customHeight="1" x14ac:dyDescent="0.15">
      <c r="A642" s="6"/>
      <c r="D642" t="s">
        <v>90</v>
      </c>
      <c r="E642" t="str">
        <f>E154&amp;".487"</f>
        <v>7.487</v>
      </c>
      <c r="F642" t="s">
        <v>2501</v>
      </c>
      <c r="G642" t="s">
        <v>1088</v>
      </c>
      <c r="I642">
        <v>2.1</v>
      </c>
    </row>
    <row r="643" spans="1:9" ht="15" customHeight="1" x14ac:dyDescent="0.15">
      <c r="A643" s="6"/>
      <c r="D643" t="s">
        <v>90</v>
      </c>
      <c r="E643" t="str">
        <f>E154&amp;".488"</f>
        <v>7.488</v>
      </c>
      <c r="F643" t="s">
        <v>2502</v>
      </c>
      <c r="G643" t="s">
        <v>1088</v>
      </c>
      <c r="I643">
        <v>3.98</v>
      </c>
    </row>
    <row r="644" spans="1:9" ht="15" customHeight="1" x14ac:dyDescent="0.15">
      <c r="A644" s="6"/>
      <c r="D644" t="s">
        <v>90</v>
      </c>
      <c r="E644" t="str">
        <f>E154&amp;".489"</f>
        <v>7.489</v>
      </c>
      <c r="F644" t="s">
        <v>2503</v>
      </c>
      <c r="G644" t="s">
        <v>1088</v>
      </c>
      <c r="I644">
        <v>0.31</v>
      </c>
    </row>
    <row r="645" spans="1:9" ht="15" customHeight="1" x14ac:dyDescent="0.15">
      <c r="A645" s="6"/>
      <c r="D645" t="s">
        <v>90</v>
      </c>
      <c r="E645" t="str">
        <f>E154&amp;".490"</f>
        <v>7.490</v>
      </c>
      <c r="F645" t="s">
        <v>2504</v>
      </c>
      <c r="G645" t="s">
        <v>1088</v>
      </c>
      <c r="I645">
        <v>0.24099999999999999</v>
      </c>
    </row>
    <row r="646" spans="1:9" ht="15" customHeight="1" x14ac:dyDescent="0.15">
      <c r="A646" s="6"/>
      <c r="D646" t="s">
        <v>90</v>
      </c>
      <c r="E646" t="str">
        <f>E154&amp;".491"</f>
        <v>7.491</v>
      </c>
      <c r="F646" t="s">
        <v>2505</v>
      </c>
      <c r="G646" t="s">
        <v>1088</v>
      </c>
      <c r="I646">
        <v>4.1399999999999997</v>
      </c>
    </row>
    <row r="647" spans="1:9" ht="15" customHeight="1" x14ac:dyDescent="0.15">
      <c r="A647" s="6"/>
      <c r="D647" t="s">
        <v>90</v>
      </c>
      <c r="E647" t="str">
        <f>E154&amp;".492"</f>
        <v>7.492</v>
      </c>
      <c r="F647" t="s">
        <v>2506</v>
      </c>
      <c r="G647" t="s">
        <v>1088</v>
      </c>
      <c r="I647">
        <v>1.4</v>
      </c>
    </row>
    <row r="648" spans="1:9" ht="15" customHeight="1" x14ac:dyDescent="0.15">
      <c r="A648" s="6"/>
      <c r="D648" t="s">
        <v>90</v>
      </c>
      <c r="E648" t="str">
        <f>E154&amp;".493"</f>
        <v>7.493</v>
      </c>
      <c r="F648" t="s">
        <v>2507</v>
      </c>
      <c r="G648" t="s">
        <v>1088</v>
      </c>
      <c r="I648">
        <v>1.4</v>
      </c>
    </row>
    <row r="649" spans="1:9" ht="15" customHeight="1" x14ac:dyDescent="0.15">
      <c r="A649" s="6"/>
      <c r="D649" t="s">
        <v>90</v>
      </c>
      <c r="E649" t="str">
        <f>E154&amp;".494"</f>
        <v>7.494</v>
      </c>
      <c r="F649" t="s">
        <v>2508</v>
      </c>
      <c r="G649" t="s">
        <v>1088</v>
      </c>
      <c r="I649">
        <v>7.3</v>
      </c>
    </row>
    <row r="650" spans="1:9" ht="15" customHeight="1" x14ac:dyDescent="0.15">
      <c r="A650" s="6"/>
      <c r="D650" t="s">
        <v>90</v>
      </c>
      <c r="E650" t="str">
        <f>E154&amp;".495"</f>
        <v>7.495</v>
      </c>
      <c r="F650" t="s">
        <v>2509</v>
      </c>
      <c r="G650" t="s">
        <v>1088</v>
      </c>
      <c r="I650">
        <v>3.6</v>
      </c>
    </row>
    <row r="651" spans="1:9" ht="15" customHeight="1" x14ac:dyDescent="0.15">
      <c r="A651" s="6"/>
      <c r="D651" t="s">
        <v>90</v>
      </c>
      <c r="E651" t="str">
        <f>E154&amp;".496"</f>
        <v>7.496</v>
      </c>
      <c r="F651" t="s">
        <v>2510</v>
      </c>
      <c r="G651" t="s">
        <v>1088</v>
      </c>
      <c r="I651">
        <v>7.2</v>
      </c>
    </row>
    <row r="652" spans="1:9" ht="15" customHeight="1" x14ac:dyDescent="0.15">
      <c r="A652" s="6"/>
      <c r="D652" t="s">
        <v>90</v>
      </c>
      <c r="E652" t="str">
        <f>E154&amp;".497"</f>
        <v>7.497</v>
      </c>
      <c r="F652" t="s">
        <v>2511</v>
      </c>
      <c r="G652" t="s">
        <v>1088</v>
      </c>
      <c r="I652">
        <v>5.4</v>
      </c>
    </row>
    <row r="653" spans="1:9" ht="15" customHeight="1" x14ac:dyDescent="0.15">
      <c r="A653" s="6"/>
      <c r="D653" t="s">
        <v>90</v>
      </c>
      <c r="E653" t="str">
        <f>E154&amp;".498"</f>
        <v>7.498</v>
      </c>
      <c r="F653" t="s">
        <v>2512</v>
      </c>
      <c r="G653" t="s">
        <v>1088</v>
      </c>
      <c r="I653">
        <v>7.56</v>
      </c>
    </row>
    <row r="654" spans="1:9" ht="15" customHeight="1" x14ac:dyDescent="0.15">
      <c r="A654" s="6"/>
      <c r="D654" t="s">
        <v>90</v>
      </c>
      <c r="E654" t="str">
        <f>E154&amp;".499"</f>
        <v>7.499</v>
      </c>
      <c r="F654" t="s">
        <v>2513</v>
      </c>
      <c r="G654" t="s">
        <v>1088</v>
      </c>
      <c r="I654">
        <v>2.8</v>
      </c>
    </row>
    <row r="655" spans="1:9" ht="15" customHeight="1" x14ac:dyDescent="0.15">
      <c r="A655" s="6"/>
      <c r="D655" t="s">
        <v>90</v>
      </c>
      <c r="E655" t="str">
        <f>E154&amp;".500"</f>
        <v>7.500</v>
      </c>
      <c r="F655" t="s">
        <v>2514</v>
      </c>
      <c r="G655" t="s">
        <v>1088</v>
      </c>
      <c r="I655">
        <v>3.6</v>
      </c>
    </row>
    <row r="656" spans="1:9" ht="15" customHeight="1" x14ac:dyDescent="0.15">
      <c r="A656" s="6"/>
      <c r="D656" t="s">
        <v>90</v>
      </c>
      <c r="E656" t="str">
        <f>E154&amp;".501"</f>
        <v>7.501</v>
      </c>
      <c r="F656" t="s">
        <v>2515</v>
      </c>
      <c r="G656" t="s">
        <v>1088</v>
      </c>
      <c r="I656">
        <v>0.6</v>
      </c>
    </row>
    <row r="657" spans="1:9" ht="15" customHeight="1" x14ac:dyDescent="0.15">
      <c r="A657" s="6"/>
      <c r="D657" t="s">
        <v>90</v>
      </c>
      <c r="E657" t="str">
        <f>E154&amp;".502"</f>
        <v>7.502</v>
      </c>
      <c r="F657" t="s">
        <v>2516</v>
      </c>
      <c r="G657" t="s">
        <v>1088</v>
      </c>
      <c r="I657">
        <v>1.02</v>
      </c>
    </row>
    <row r="658" spans="1:9" ht="15" customHeight="1" x14ac:dyDescent="0.15">
      <c r="A658" s="6"/>
      <c r="D658" t="s">
        <v>90</v>
      </c>
      <c r="E658" t="str">
        <f>E154&amp;".503"</f>
        <v>7.503</v>
      </c>
      <c r="F658" t="s">
        <v>2517</v>
      </c>
      <c r="G658" t="s">
        <v>1088</v>
      </c>
      <c r="I658">
        <v>1.2</v>
      </c>
    </row>
    <row r="659" spans="1:9" ht="15" customHeight="1" x14ac:dyDescent="0.15">
      <c r="A659" s="6"/>
      <c r="D659" t="s">
        <v>90</v>
      </c>
      <c r="E659" t="str">
        <f>E154&amp;".504"</f>
        <v>7.504</v>
      </c>
      <c r="F659" t="s">
        <v>2518</v>
      </c>
      <c r="G659" t="s">
        <v>1088</v>
      </c>
      <c r="I659">
        <v>3.6</v>
      </c>
    </row>
    <row r="660" spans="1:9" ht="15" customHeight="1" x14ac:dyDescent="0.15">
      <c r="A660" s="6"/>
      <c r="D660" t="s">
        <v>90</v>
      </c>
      <c r="E660" t="str">
        <f>E154&amp;".505"</f>
        <v>7.505</v>
      </c>
      <c r="F660" t="s">
        <v>2519</v>
      </c>
      <c r="G660" t="s">
        <v>1088</v>
      </c>
      <c r="I660">
        <v>1.66</v>
      </c>
    </row>
    <row r="661" spans="1:9" ht="15" customHeight="1" x14ac:dyDescent="0.15">
      <c r="A661" s="6"/>
      <c r="D661" t="s">
        <v>90</v>
      </c>
      <c r="E661" t="str">
        <f>E154&amp;".506"</f>
        <v>7.506</v>
      </c>
      <c r="F661" t="s">
        <v>2520</v>
      </c>
      <c r="G661" t="s">
        <v>1088</v>
      </c>
      <c r="I661">
        <v>19.600000000000001</v>
      </c>
    </row>
    <row r="662" spans="1:9" ht="15" customHeight="1" x14ac:dyDescent="0.15">
      <c r="A662" s="6"/>
      <c r="D662" t="s">
        <v>90</v>
      </c>
      <c r="E662" t="str">
        <f>E154&amp;".507"</f>
        <v>7.507</v>
      </c>
      <c r="F662" t="s">
        <v>2521</v>
      </c>
      <c r="G662" t="s">
        <v>1088</v>
      </c>
      <c r="I662">
        <v>5.4</v>
      </c>
    </row>
    <row r="663" spans="1:9" ht="15" customHeight="1" x14ac:dyDescent="0.15">
      <c r="A663" s="6"/>
      <c r="D663" t="s">
        <v>90</v>
      </c>
      <c r="E663" t="str">
        <f>E154&amp;".508"</f>
        <v>7.508</v>
      </c>
      <c r="F663" t="s">
        <v>2522</v>
      </c>
      <c r="G663" t="s">
        <v>1088</v>
      </c>
      <c r="I663">
        <v>15.5</v>
      </c>
    </row>
    <row r="664" spans="1:9" ht="15" customHeight="1" x14ac:dyDescent="0.15">
      <c r="A664" s="6"/>
      <c r="D664" t="s">
        <v>90</v>
      </c>
      <c r="E664" t="str">
        <f>E154&amp;".509"</f>
        <v>7.509</v>
      </c>
      <c r="F664" t="s">
        <v>2523</v>
      </c>
      <c r="G664" t="s">
        <v>1088</v>
      </c>
      <c r="I664">
        <v>0.6</v>
      </c>
    </row>
    <row r="665" spans="1:9" ht="15" customHeight="1" x14ac:dyDescent="0.15">
      <c r="A665" s="6"/>
      <c r="D665" t="s">
        <v>90</v>
      </c>
      <c r="E665" t="str">
        <f>E154&amp;".510"</f>
        <v>7.510</v>
      </c>
      <c r="F665" t="s">
        <v>2524</v>
      </c>
      <c r="G665" t="s">
        <v>1088</v>
      </c>
      <c r="I665">
        <v>0.66</v>
      </c>
    </row>
    <row r="666" spans="1:9" ht="15" customHeight="1" x14ac:dyDescent="0.15">
      <c r="A666" s="6"/>
      <c r="D666" t="s">
        <v>90</v>
      </c>
      <c r="E666" t="str">
        <f>E154&amp;".511"</f>
        <v>7.511</v>
      </c>
      <c r="F666" t="s">
        <v>2525</v>
      </c>
      <c r="G666" t="s">
        <v>1088</v>
      </c>
      <c r="I666">
        <v>0.17199999999999999</v>
      </c>
    </row>
    <row r="667" spans="1:9" ht="15" customHeight="1" x14ac:dyDescent="0.15">
      <c r="A667" s="6"/>
      <c r="D667" t="s">
        <v>90</v>
      </c>
      <c r="E667" t="str">
        <f>E154&amp;".512"</f>
        <v>7.512</v>
      </c>
      <c r="F667" t="s">
        <v>2526</v>
      </c>
      <c r="G667" t="s">
        <v>1088</v>
      </c>
      <c r="I667">
        <v>1.032</v>
      </c>
    </row>
    <row r="668" spans="1:9" ht="15" customHeight="1" x14ac:dyDescent="0.15">
      <c r="A668" s="6"/>
      <c r="D668" t="s">
        <v>90</v>
      </c>
      <c r="E668" t="str">
        <f>E154&amp;".513"</f>
        <v>7.513</v>
      </c>
      <c r="F668" t="s">
        <v>2527</v>
      </c>
      <c r="G668" t="s">
        <v>1088</v>
      </c>
      <c r="I668">
        <v>0.51600000000000001</v>
      </c>
    </row>
    <row r="669" spans="1:9" ht="15" customHeight="1" x14ac:dyDescent="0.15">
      <c r="A669" s="6"/>
      <c r="D669" t="s">
        <v>90</v>
      </c>
      <c r="E669" t="str">
        <f>E154&amp;".514"</f>
        <v>7.514</v>
      </c>
      <c r="F669" t="s">
        <v>2528</v>
      </c>
      <c r="G669" t="s">
        <v>1088</v>
      </c>
      <c r="I669">
        <v>2.0640000000000001</v>
      </c>
    </row>
    <row r="670" spans="1:9" ht="15" customHeight="1" x14ac:dyDescent="0.15">
      <c r="A670" s="6"/>
      <c r="D670" t="s">
        <v>90</v>
      </c>
      <c r="E670" t="str">
        <f>E154&amp;".515"</f>
        <v>7.515</v>
      </c>
      <c r="F670" t="s">
        <v>2529</v>
      </c>
      <c r="G670" t="s">
        <v>1088</v>
      </c>
      <c r="I670">
        <v>0.24</v>
      </c>
    </row>
    <row r="671" spans="1:9" ht="15" customHeight="1" x14ac:dyDescent="0.15">
      <c r="A671" s="6"/>
      <c r="D671" t="s">
        <v>90</v>
      </c>
      <c r="E671" t="str">
        <f>E154&amp;".516"</f>
        <v>7.516</v>
      </c>
      <c r="F671" t="s">
        <v>2530</v>
      </c>
      <c r="G671" t="s">
        <v>1088</v>
      </c>
      <c r="I671">
        <v>0.68799999999999994</v>
      </c>
    </row>
    <row r="672" spans="1:9" ht="15" customHeight="1" x14ac:dyDescent="0.15">
      <c r="A672" s="6"/>
      <c r="D672" t="s">
        <v>90</v>
      </c>
      <c r="E672" t="str">
        <f>E154&amp;".517"</f>
        <v>7.517</v>
      </c>
      <c r="F672" t="s">
        <v>2531</v>
      </c>
      <c r="G672" t="s">
        <v>1088</v>
      </c>
      <c r="I672">
        <v>2.0640000000000001</v>
      </c>
    </row>
    <row r="673" spans="1:9" ht="15" customHeight="1" x14ac:dyDescent="0.15">
      <c r="A673" s="6"/>
      <c r="D673" t="s">
        <v>90</v>
      </c>
      <c r="E673" t="str">
        <f>E154&amp;".518"</f>
        <v>7.518</v>
      </c>
      <c r="F673" t="s">
        <v>2532</v>
      </c>
      <c r="G673" t="s">
        <v>1088</v>
      </c>
      <c r="I673">
        <v>0.17199999999999999</v>
      </c>
    </row>
    <row r="674" spans="1:9" ht="15" customHeight="1" x14ac:dyDescent="0.15">
      <c r="A674" s="6"/>
      <c r="D674" t="s">
        <v>90</v>
      </c>
      <c r="E674" t="str">
        <f>E154&amp;".519"</f>
        <v>7.519</v>
      </c>
      <c r="F674" t="s">
        <v>2533</v>
      </c>
      <c r="G674" t="s">
        <v>1088</v>
      </c>
      <c r="I674">
        <v>2.0640000000000001</v>
      </c>
    </row>
    <row r="675" spans="1:9" ht="15" customHeight="1" x14ac:dyDescent="0.15">
      <c r="A675" s="6"/>
      <c r="D675" t="s">
        <v>90</v>
      </c>
      <c r="E675" t="str">
        <f>E154&amp;".520"</f>
        <v>7.520</v>
      </c>
      <c r="F675" t="s">
        <v>2534</v>
      </c>
      <c r="G675" t="s">
        <v>1088</v>
      </c>
      <c r="I675">
        <v>0.249</v>
      </c>
    </row>
    <row r="676" spans="1:9" ht="15" customHeight="1" x14ac:dyDescent="0.15">
      <c r="A676" s="6"/>
      <c r="D676" t="s">
        <v>90</v>
      </c>
      <c r="E676" t="str">
        <f>E154&amp;".521"</f>
        <v>7.521</v>
      </c>
      <c r="F676" t="s">
        <v>2535</v>
      </c>
      <c r="G676" t="s">
        <v>1088</v>
      </c>
      <c r="I676">
        <v>0.51600000000000001</v>
      </c>
    </row>
    <row r="677" spans="1:9" ht="15" customHeight="1" x14ac:dyDescent="0.15">
      <c r="A677" s="6"/>
      <c r="D677" t="s">
        <v>90</v>
      </c>
      <c r="E677" t="str">
        <f>E154&amp;".522"</f>
        <v>7.522</v>
      </c>
      <c r="F677" t="s">
        <v>2536</v>
      </c>
      <c r="G677" t="s">
        <v>1088</v>
      </c>
      <c r="I677">
        <v>2.0640000000000001</v>
      </c>
    </row>
    <row r="678" spans="1:9" ht="15" customHeight="1" x14ac:dyDescent="0.15">
      <c r="A678" s="6"/>
      <c r="D678" t="s">
        <v>90</v>
      </c>
      <c r="E678" t="str">
        <f>E154&amp;".523"</f>
        <v>7.523</v>
      </c>
      <c r="F678" t="s">
        <v>2537</v>
      </c>
      <c r="G678" t="s">
        <v>1088</v>
      </c>
      <c r="I678">
        <v>1.548</v>
      </c>
    </row>
    <row r="679" spans="1:9" ht="15" customHeight="1" x14ac:dyDescent="0.15">
      <c r="A679" s="6"/>
      <c r="D679" t="s">
        <v>90</v>
      </c>
      <c r="E679" t="str">
        <f>E154&amp;".524"</f>
        <v>7.524</v>
      </c>
      <c r="F679" t="s">
        <v>2538</v>
      </c>
      <c r="G679" t="s">
        <v>1088</v>
      </c>
      <c r="I679">
        <v>1.032</v>
      </c>
    </row>
    <row r="680" spans="1:9" ht="15" customHeight="1" x14ac:dyDescent="0.15">
      <c r="A680" s="6"/>
      <c r="D680" t="s">
        <v>90</v>
      </c>
      <c r="E680" t="str">
        <f>E154&amp;".525"</f>
        <v>7.525</v>
      </c>
      <c r="F680" t="s">
        <v>2539</v>
      </c>
      <c r="G680" t="s">
        <v>1088</v>
      </c>
      <c r="I680">
        <v>0.39300000000000002</v>
      </c>
    </row>
    <row r="681" spans="1:9" ht="15" customHeight="1" x14ac:dyDescent="0.15">
      <c r="A681" s="6"/>
      <c r="D681" t="s">
        <v>90</v>
      </c>
      <c r="E681" t="str">
        <f>E154&amp;".526"</f>
        <v>7.526</v>
      </c>
      <c r="F681" t="s">
        <v>2540</v>
      </c>
      <c r="G681" t="s">
        <v>1088</v>
      </c>
      <c r="I681">
        <v>0.14000000000000001</v>
      </c>
    </row>
    <row r="682" spans="1:9" ht="15" customHeight="1" x14ac:dyDescent="0.15">
      <c r="A682" s="6"/>
      <c r="D682" t="s">
        <v>90</v>
      </c>
      <c r="E682" t="str">
        <f>E154&amp;".527"</f>
        <v>7.527</v>
      </c>
      <c r="F682" t="s">
        <v>2541</v>
      </c>
      <c r="G682" t="s">
        <v>1088</v>
      </c>
      <c r="I682">
        <v>0.55000000000000004</v>
      </c>
    </row>
    <row r="683" spans="1:9" ht="15" customHeight="1" x14ac:dyDescent="0.15">
      <c r="A683" s="6"/>
      <c r="D683" t="s">
        <v>90</v>
      </c>
      <c r="E683" t="str">
        <f>E154&amp;".528"</f>
        <v>7.528</v>
      </c>
      <c r="F683" t="s">
        <v>2542</v>
      </c>
      <c r="G683" t="s">
        <v>1088</v>
      </c>
      <c r="I683">
        <v>8.5999999999999993E-2</v>
      </c>
    </row>
    <row r="684" spans="1:9" ht="15" customHeight="1" x14ac:dyDescent="0.15">
      <c r="A684" s="6"/>
      <c r="D684" t="s">
        <v>90</v>
      </c>
      <c r="E684" t="str">
        <f>E154&amp;".529"</f>
        <v>7.529</v>
      </c>
      <c r="F684" t="s">
        <v>2543</v>
      </c>
      <c r="G684" t="s">
        <v>1088</v>
      </c>
      <c r="I684">
        <v>0.46600000000000003</v>
      </c>
    </row>
    <row r="685" spans="1:9" ht="15" customHeight="1" x14ac:dyDescent="0.15">
      <c r="A685" s="6"/>
      <c r="D685" t="s">
        <v>90</v>
      </c>
      <c r="E685" t="str">
        <f>E154&amp;".530"</f>
        <v>7.530</v>
      </c>
      <c r="F685" t="s">
        <v>2544</v>
      </c>
      <c r="G685" t="s">
        <v>1088</v>
      </c>
      <c r="I685">
        <v>1.1000000000000001</v>
      </c>
    </row>
    <row r="686" spans="1:9" ht="15" customHeight="1" x14ac:dyDescent="0.15">
      <c r="A686" s="6"/>
      <c r="D686" t="s">
        <v>90</v>
      </c>
      <c r="E686" t="str">
        <f>E154&amp;".531"</f>
        <v>7.531</v>
      </c>
      <c r="F686" t="s">
        <v>2545</v>
      </c>
      <c r="G686" t="s">
        <v>1088</v>
      </c>
      <c r="I686">
        <v>8.5999999999999993E-2</v>
      </c>
    </row>
    <row r="687" spans="1:9" ht="15" customHeight="1" x14ac:dyDescent="0.15">
      <c r="A687" s="6"/>
      <c r="D687" t="s">
        <v>90</v>
      </c>
      <c r="E687" t="str">
        <f>E154&amp;".532"</f>
        <v>7.532</v>
      </c>
      <c r="F687" t="s">
        <v>2546</v>
      </c>
      <c r="G687" t="s">
        <v>1088</v>
      </c>
      <c r="I687">
        <v>0.26800000000000002</v>
      </c>
    </row>
    <row r="688" spans="1:9" ht="15" customHeight="1" x14ac:dyDescent="0.15">
      <c r="A688" s="6"/>
      <c r="D688" t="s">
        <v>90</v>
      </c>
      <c r="E688" t="str">
        <f>E154&amp;".533"</f>
        <v>7.533</v>
      </c>
      <c r="F688" t="s">
        <v>2547</v>
      </c>
      <c r="G688" t="s">
        <v>1088</v>
      </c>
      <c r="I688">
        <v>2</v>
      </c>
    </row>
    <row r="689" spans="1:9" ht="15" customHeight="1" x14ac:dyDescent="0.15">
      <c r="A689" s="6"/>
      <c r="D689" t="s">
        <v>90</v>
      </c>
      <c r="E689" t="str">
        <f>E154&amp;".534"</f>
        <v>7.534</v>
      </c>
      <c r="F689" t="s">
        <v>2548</v>
      </c>
      <c r="G689" t="s">
        <v>1088</v>
      </c>
      <c r="I689">
        <v>8.5999999999999993E-2</v>
      </c>
    </row>
    <row r="690" spans="1:9" ht="15" customHeight="1" x14ac:dyDescent="0.15">
      <c r="A690" s="6"/>
      <c r="D690" t="s">
        <v>90</v>
      </c>
      <c r="E690" t="str">
        <f>E154&amp;".535"</f>
        <v>7.535</v>
      </c>
      <c r="F690" t="s">
        <v>2549</v>
      </c>
      <c r="G690" t="s">
        <v>1088</v>
      </c>
      <c r="I690">
        <v>15.42</v>
      </c>
    </row>
    <row r="691" spans="1:9" ht="15" customHeight="1" x14ac:dyDescent="0.15">
      <c r="A691" s="6"/>
      <c r="D691" t="s">
        <v>90</v>
      </c>
      <c r="E691" t="str">
        <f>E154&amp;".536"</f>
        <v>7.536</v>
      </c>
      <c r="F691" t="s">
        <v>2550</v>
      </c>
      <c r="G691" t="s">
        <v>1088</v>
      </c>
      <c r="I691">
        <v>7.0000000000000007E-2</v>
      </c>
    </row>
    <row r="692" spans="1:9" ht="15" customHeight="1" x14ac:dyDescent="0.15">
      <c r="A692" s="6"/>
      <c r="D692" t="s">
        <v>90</v>
      </c>
      <c r="E692" t="str">
        <f>E154&amp;".537"</f>
        <v>7.537</v>
      </c>
      <c r="F692" t="s">
        <v>2551</v>
      </c>
      <c r="G692" t="s">
        <v>1088</v>
      </c>
      <c r="I692">
        <v>0.36</v>
      </c>
    </row>
    <row r="693" spans="1:9" ht="15" customHeight="1" x14ac:dyDescent="0.15">
      <c r="A693" s="6"/>
      <c r="D693" t="s">
        <v>90</v>
      </c>
      <c r="E693" t="str">
        <f>E154&amp;".538"</f>
        <v>7.538</v>
      </c>
      <c r="F693" t="s">
        <v>2552</v>
      </c>
      <c r="G693" t="s">
        <v>1088</v>
      </c>
      <c r="I693">
        <v>3.4</v>
      </c>
    </row>
    <row r="694" spans="1:9" ht="15" customHeight="1" x14ac:dyDescent="0.15">
      <c r="A694" s="6"/>
      <c r="D694" t="s">
        <v>90</v>
      </c>
      <c r="E694" t="str">
        <f>E154&amp;".539"</f>
        <v>7.539</v>
      </c>
      <c r="F694" t="s">
        <v>2553</v>
      </c>
      <c r="G694" t="s">
        <v>1088</v>
      </c>
      <c r="I694">
        <v>9.9</v>
      </c>
    </row>
    <row r="695" spans="1:9" ht="15" customHeight="1" x14ac:dyDescent="0.15">
      <c r="A695" s="6"/>
      <c r="D695" t="s">
        <v>90</v>
      </c>
      <c r="E695" t="str">
        <f>E154&amp;".540"</f>
        <v>7.540</v>
      </c>
      <c r="F695" t="s">
        <v>2554</v>
      </c>
      <c r="G695" t="s">
        <v>1088</v>
      </c>
      <c r="I695">
        <v>1.8340000000000001</v>
      </c>
    </row>
    <row r="696" spans="1:9" ht="15" customHeight="1" x14ac:dyDescent="0.15">
      <c r="A696" s="6"/>
      <c r="D696" t="s">
        <v>90</v>
      </c>
      <c r="E696" t="str">
        <f>E154&amp;".541"</f>
        <v>7.541</v>
      </c>
      <c r="F696" t="s">
        <v>2555</v>
      </c>
      <c r="G696" t="s">
        <v>1088</v>
      </c>
      <c r="I696">
        <v>0.3</v>
      </c>
    </row>
    <row r="697" spans="1:9" ht="15" customHeight="1" x14ac:dyDescent="0.15">
      <c r="A697" s="6"/>
      <c r="D697" t="s">
        <v>90</v>
      </c>
      <c r="E697" t="str">
        <f>E154&amp;".542"</f>
        <v>7.542</v>
      </c>
      <c r="F697" t="s">
        <v>2556</v>
      </c>
      <c r="G697" t="s">
        <v>1088</v>
      </c>
      <c r="I697">
        <v>0.3</v>
      </c>
    </row>
    <row r="698" spans="1:9" ht="15" customHeight="1" x14ac:dyDescent="0.15">
      <c r="A698" s="6"/>
      <c r="D698" t="s">
        <v>90</v>
      </c>
      <c r="E698" t="str">
        <f>E154&amp;".543"</f>
        <v>7.543</v>
      </c>
      <c r="F698" t="s">
        <v>2557</v>
      </c>
      <c r="G698" t="s">
        <v>1088</v>
      </c>
      <c r="I698">
        <v>0.16800000000000001</v>
      </c>
    </row>
    <row r="699" spans="1:9" ht="15" customHeight="1" x14ac:dyDescent="0.15">
      <c r="A699" s="6"/>
      <c r="D699" t="s">
        <v>90</v>
      </c>
      <c r="E699" t="str">
        <f>E154&amp;".544"</f>
        <v>7.544</v>
      </c>
      <c r="F699" t="s">
        <v>2558</v>
      </c>
      <c r="G699" t="s">
        <v>1088</v>
      </c>
      <c r="I699">
        <v>0.7</v>
      </c>
    </row>
    <row r="700" spans="1:9" ht="15" customHeight="1" x14ac:dyDescent="0.15">
      <c r="A700" s="6"/>
      <c r="D700" t="s">
        <v>90</v>
      </c>
      <c r="E700" t="str">
        <f>E154&amp;".545"</f>
        <v>7.545</v>
      </c>
      <c r="F700" t="s">
        <v>2559</v>
      </c>
      <c r="G700" t="s">
        <v>1088</v>
      </c>
      <c r="I700">
        <v>0.4</v>
      </c>
    </row>
    <row r="701" spans="1:9" ht="15" customHeight="1" x14ac:dyDescent="0.15">
      <c r="A701" s="6"/>
      <c r="D701" t="s">
        <v>90</v>
      </c>
      <c r="E701" t="str">
        <f>E154&amp;".546"</f>
        <v>7.546</v>
      </c>
      <c r="F701" t="s">
        <v>2560</v>
      </c>
      <c r="G701" t="s">
        <v>1088</v>
      </c>
      <c r="I701">
        <v>3.44</v>
      </c>
    </row>
    <row r="702" spans="1:9" ht="15" customHeight="1" x14ac:dyDescent="0.15">
      <c r="A702" s="6"/>
      <c r="D702" t="s">
        <v>90</v>
      </c>
      <c r="E702" t="str">
        <f>E154&amp;".547"</f>
        <v>7.547</v>
      </c>
      <c r="F702" t="s">
        <v>2561</v>
      </c>
      <c r="G702" t="s">
        <v>1088</v>
      </c>
      <c r="I702">
        <v>0.45600000000000002</v>
      </c>
    </row>
    <row r="703" spans="1:9" ht="15" customHeight="1" x14ac:dyDescent="0.15">
      <c r="A703" s="6"/>
      <c r="D703" t="s">
        <v>90</v>
      </c>
      <c r="E703" t="str">
        <f>E154&amp;".548"</f>
        <v>7.548</v>
      </c>
      <c r="F703" t="s">
        <v>2562</v>
      </c>
      <c r="G703" t="s">
        <v>1088</v>
      </c>
      <c r="I703">
        <v>0.42199999999999999</v>
      </c>
    </row>
    <row r="704" spans="1:9" ht="15" customHeight="1" x14ac:dyDescent="0.15">
      <c r="A704" s="6"/>
      <c r="D704" t="s">
        <v>90</v>
      </c>
      <c r="E704" t="str">
        <f>E154&amp;".549"</f>
        <v>7.549</v>
      </c>
      <c r="F704" t="s">
        <v>2563</v>
      </c>
      <c r="G704" t="s">
        <v>1088</v>
      </c>
      <c r="I704">
        <v>1.3759999999999999</v>
      </c>
    </row>
    <row r="705" spans="1:9" ht="15" customHeight="1" x14ac:dyDescent="0.15">
      <c r="A705" s="6"/>
      <c r="D705" t="s">
        <v>90</v>
      </c>
      <c r="E705" t="str">
        <f>E154&amp;".550"</f>
        <v>7.550</v>
      </c>
      <c r="F705" t="s">
        <v>2564</v>
      </c>
      <c r="G705" t="s">
        <v>1088</v>
      </c>
      <c r="I705">
        <v>0.219</v>
      </c>
    </row>
    <row r="706" spans="1:9" ht="15" customHeight="1" x14ac:dyDescent="0.15">
      <c r="A706" s="6"/>
      <c r="D706" t="s">
        <v>90</v>
      </c>
      <c r="E706" t="str">
        <f>E154&amp;".551"</f>
        <v>7.551</v>
      </c>
      <c r="F706" t="s">
        <v>2565</v>
      </c>
      <c r="G706" t="s">
        <v>1088</v>
      </c>
      <c r="I706">
        <v>0.155</v>
      </c>
    </row>
    <row r="707" spans="1:9" ht="15" customHeight="1" x14ac:dyDescent="0.15">
      <c r="A707" s="6"/>
      <c r="D707" t="s">
        <v>90</v>
      </c>
      <c r="E707" t="str">
        <f>E154&amp;".552"</f>
        <v>7.552</v>
      </c>
      <c r="F707" t="s">
        <v>2566</v>
      </c>
      <c r="G707" t="s">
        <v>1088</v>
      </c>
      <c r="I707">
        <v>2.2559999999999998</v>
      </c>
    </row>
    <row r="708" spans="1:9" ht="15" customHeight="1" x14ac:dyDescent="0.15">
      <c r="A708" s="6"/>
      <c r="D708" t="s">
        <v>90</v>
      </c>
      <c r="E708" t="str">
        <f>E154&amp;".553"</f>
        <v>7.553</v>
      </c>
      <c r="F708" t="s">
        <v>2567</v>
      </c>
      <c r="G708" t="s">
        <v>1088</v>
      </c>
      <c r="I708">
        <v>12.36</v>
      </c>
    </row>
    <row r="709" spans="1:9" ht="15" customHeight="1" x14ac:dyDescent="0.15">
      <c r="A709" s="6"/>
      <c r="D709" t="s">
        <v>90</v>
      </c>
      <c r="E709" t="str">
        <f>E154&amp;".554"</f>
        <v>7.554</v>
      </c>
      <c r="F709" t="s">
        <v>2568</v>
      </c>
      <c r="G709" t="s">
        <v>1088</v>
      </c>
      <c r="I709">
        <v>4.0720000000000001</v>
      </c>
    </row>
    <row r="710" spans="1:9" ht="15" customHeight="1" x14ac:dyDescent="0.15">
      <c r="A710" s="6"/>
      <c r="D710" t="s">
        <v>90</v>
      </c>
      <c r="E710" t="str">
        <f>E154&amp;".555"</f>
        <v>7.555</v>
      </c>
      <c r="F710" t="s">
        <v>2569</v>
      </c>
      <c r="G710" t="s">
        <v>1088</v>
      </c>
      <c r="I710">
        <v>2.58</v>
      </c>
    </row>
    <row r="711" spans="1:9" ht="15" customHeight="1" x14ac:dyDescent="0.15">
      <c r="A711" s="6"/>
      <c r="D711" t="s">
        <v>90</v>
      </c>
      <c r="E711" t="str">
        <f>E154&amp;".556"</f>
        <v>7.556</v>
      </c>
      <c r="F711" t="s">
        <v>2570</v>
      </c>
      <c r="G711" t="s">
        <v>1088</v>
      </c>
      <c r="I711">
        <v>0.55800000000000005</v>
      </c>
    </row>
    <row r="712" spans="1:9" ht="15" customHeight="1" x14ac:dyDescent="0.15">
      <c r="A712" s="6"/>
      <c r="D712" t="s">
        <v>90</v>
      </c>
      <c r="E712" t="str">
        <f>E154&amp;".557"</f>
        <v>7.557</v>
      </c>
      <c r="F712" t="s">
        <v>2571</v>
      </c>
      <c r="G712" t="s">
        <v>1088</v>
      </c>
      <c r="I712">
        <v>0.34</v>
      </c>
    </row>
    <row r="713" spans="1:9" ht="15" customHeight="1" x14ac:dyDescent="0.15">
      <c r="A713" s="6"/>
      <c r="D713" t="s">
        <v>90</v>
      </c>
      <c r="E713" t="str">
        <f>E154&amp;".558"</f>
        <v>7.558</v>
      </c>
      <c r="F713" t="s">
        <v>2572</v>
      </c>
      <c r="G713" t="s">
        <v>1088</v>
      </c>
      <c r="I713">
        <v>1.72</v>
      </c>
    </row>
    <row r="714" spans="1:9" ht="15" customHeight="1" x14ac:dyDescent="0.15">
      <c r="A714" s="6"/>
      <c r="D714" t="s">
        <v>90</v>
      </c>
      <c r="E714" t="str">
        <f>E154&amp;".559"</f>
        <v>7.559</v>
      </c>
      <c r="F714" t="s">
        <v>2573</v>
      </c>
      <c r="G714" t="s">
        <v>1088</v>
      </c>
      <c r="I714">
        <v>5.4</v>
      </c>
    </row>
    <row r="715" spans="1:9" ht="15" customHeight="1" x14ac:dyDescent="0.15">
      <c r="A715" s="6"/>
      <c r="D715" t="s">
        <v>90</v>
      </c>
      <c r="E715" t="str">
        <f>E154&amp;".560"</f>
        <v>7.560</v>
      </c>
      <c r="F715" t="s">
        <v>2574</v>
      </c>
      <c r="G715" t="s">
        <v>1088</v>
      </c>
      <c r="I715">
        <v>1.3759999999999999</v>
      </c>
    </row>
    <row r="716" spans="1:9" ht="15" customHeight="1" x14ac:dyDescent="0.15">
      <c r="A716" s="6"/>
      <c r="D716" t="s">
        <v>90</v>
      </c>
      <c r="E716" t="str">
        <f>E154&amp;".561"</f>
        <v>7.561</v>
      </c>
      <c r="F716" t="s">
        <v>2575</v>
      </c>
      <c r="G716" t="s">
        <v>1088</v>
      </c>
      <c r="I716">
        <v>74.8</v>
      </c>
    </row>
    <row r="717" spans="1:9" ht="15" customHeight="1" x14ac:dyDescent="0.15">
      <c r="A717" s="6"/>
      <c r="D717" t="s">
        <v>90</v>
      </c>
      <c r="E717" t="str">
        <f>E154&amp;".562"</f>
        <v>7.562</v>
      </c>
      <c r="F717" t="s">
        <v>2576</v>
      </c>
      <c r="G717" t="s">
        <v>1088</v>
      </c>
      <c r="I717">
        <v>6.9000000000000006E-2</v>
      </c>
    </row>
    <row r="718" spans="1:9" ht="15" customHeight="1" x14ac:dyDescent="0.15">
      <c r="A718" s="6"/>
      <c r="D718" t="s">
        <v>90</v>
      </c>
      <c r="E718" t="str">
        <f>E154&amp;".563"</f>
        <v>7.563</v>
      </c>
      <c r="F718" t="s">
        <v>2577</v>
      </c>
      <c r="G718" t="s">
        <v>1088</v>
      </c>
      <c r="I718">
        <v>24.6</v>
      </c>
    </row>
    <row r="719" spans="1:9" ht="15" customHeight="1" x14ac:dyDescent="0.15">
      <c r="A719" s="6"/>
      <c r="D719" t="s">
        <v>90</v>
      </c>
      <c r="E719" t="str">
        <f>E154&amp;".564"</f>
        <v>7.564</v>
      </c>
      <c r="F719" t="s">
        <v>2578</v>
      </c>
      <c r="G719" t="s">
        <v>1088</v>
      </c>
      <c r="I719">
        <v>0.47</v>
      </c>
    </row>
    <row r="720" spans="1:9" ht="15" customHeight="1" x14ac:dyDescent="0.15">
      <c r="A720" s="6"/>
      <c r="D720" t="s">
        <v>90</v>
      </c>
      <c r="E720" t="str">
        <f>E154&amp;".565"</f>
        <v>7.565</v>
      </c>
      <c r="F720" t="s">
        <v>2579</v>
      </c>
      <c r="G720" t="s">
        <v>1088</v>
      </c>
      <c r="I720">
        <v>8.5999999999999993E-2</v>
      </c>
    </row>
    <row r="721" spans="1:9" ht="15" customHeight="1" x14ac:dyDescent="0.15">
      <c r="A721" s="6"/>
      <c r="D721" t="s">
        <v>90</v>
      </c>
      <c r="E721" t="str">
        <f>E154&amp;".566"</f>
        <v>7.566</v>
      </c>
      <c r="F721" t="s">
        <v>2580</v>
      </c>
      <c r="G721" t="s">
        <v>1088</v>
      </c>
      <c r="I721">
        <v>1.71</v>
      </c>
    </row>
    <row r="722" spans="1:9" ht="15" customHeight="1" x14ac:dyDescent="0.15">
      <c r="A722" s="6"/>
      <c r="D722" t="s">
        <v>90</v>
      </c>
      <c r="E722" t="str">
        <f>E154&amp;".567"</f>
        <v>7.567</v>
      </c>
      <c r="F722" t="s">
        <v>2581</v>
      </c>
      <c r="G722" t="s">
        <v>1088</v>
      </c>
      <c r="I722">
        <v>0.24</v>
      </c>
    </row>
    <row r="723" spans="1:9" ht="15" customHeight="1" x14ac:dyDescent="0.15">
      <c r="A723" s="6"/>
      <c r="D723" t="s">
        <v>90</v>
      </c>
      <c r="E723" t="str">
        <f>E154&amp;".568"</f>
        <v>7.568</v>
      </c>
      <c r="F723" t="s">
        <v>2582</v>
      </c>
      <c r="G723" t="s">
        <v>1088</v>
      </c>
      <c r="I723">
        <v>2.5999999999999999E-2</v>
      </c>
    </row>
    <row r="724" spans="1:9" ht="15" customHeight="1" x14ac:dyDescent="0.15">
      <c r="A724" s="6"/>
      <c r="D724" t="s">
        <v>90</v>
      </c>
      <c r="E724" t="str">
        <f>E154&amp;".569"</f>
        <v>7.569</v>
      </c>
      <c r="F724" t="s">
        <v>2583</v>
      </c>
      <c r="G724" t="s">
        <v>1088</v>
      </c>
      <c r="I724">
        <v>5.1999999999999998E-2</v>
      </c>
    </row>
    <row r="725" spans="1:9" ht="15" customHeight="1" x14ac:dyDescent="0.15">
      <c r="A725" s="6"/>
      <c r="D725" t="s">
        <v>90</v>
      </c>
      <c r="E725" t="str">
        <f>E154&amp;".570"</f>
        <v>7.570</v>
      </c>
      <c r="F725" t="s">
        <v>2584</v>
      </c>
      <c r="G725" t="s">
        <v>1088</v>
      </c>
      <c r="I725">
        <v>5.1999999999999998E-2</v>
      </c>
    </row>
    <row r="726" spans="1:9" ht="15" customHeight="1" x14ac:dyDescent="0.15">
      <c r="A726" s="6"/>
      <c r="D726" t="s">
        <v>90</v>
      </c>
      <c r="E726" t="str">
        <f>E154&amp;".571"</f>
        <v>7.571</v>
      </c>
      <c r="F726" t="s">
        <v>2585</v>
      </c>
      <c r="G726" t="s">
        <v>1088</v>
      </c>
      <c r="I726">
        <v>2.5999999999999999E-2</v>
      </c>
    </row>
    <row r="727" spans="1:9" ht="15" customHeight="1" x14ac:dyDescent="0.15">
      <c r="A727" s="6"/>
      <c r="D727" t="s">
        <v>90</v>
      </c>
      <c r="E727" t="str">
        <f>E154&amp;".572"</f>
        <v>7.572</v>
      </c>
      <c r="F727" t="s">
        <v>2586</v>
      </c>
      <c r="G727" t="s">
        <v>1088</v>
      </c>
      <c r="I727">
        <v>5.16</v>
      </c>
    </row>
    <row r="728" spans="1:9" ht="15" customHeight="1" x14ac:dyDescent="0.15">
      <c r="A728" s="6"/>
      <c r="D728" t="s">
        <v>90</v>
      </c>
      <c r="E728" t="str">
        <f>E154&amp;".573"</f>
        <v>7.573</v>
      </c>
      <c r="F728" t="s">
        <v>2587</v>
      </c>
      <c r="G728" t="s">
        <v>1088</v>
      </c>
      <c r="I728">
        <v>0.80800000000000005</v>
      </c>
    </row>
    <row r="729" spans="1:9" ht="15" customHeight="1" x14ac:dyDescent="0.15">
      <c r="A729" s="6"/>
      <c r="D729" t="s">
        <v>90</v>
      </c>
      <c r="E729" t="str">
        <f>E154&amp;".574"</f>
        <v>7.574</v>
      </c>
      <c r="F729" t="s">
        <v>2588</v>
      </c>
      <c r="G729" t="s">
        <v>1088</v>
      </c>
      <c r="I729">
        <v>0.28799999999999998</v>
      </c>
    </row>
    <row r="730" spans="1:9" ht="15" customHeight="1" x14ac:dyDescent="0.15">
      <c r="A730" s="6"/>
      <c r="D730" t="s">
        <v>90</v>
      </c>
      <c r="E730" t="str">
        <f>E154&amp;".575"</f>
        <v>7.575</v>
      </c>
      <c r="F730" t="s">
        <v>2589</v>
      </c>
      <c r="G730" t="s">
        <v>1088</v>
      </c>
      <c r="I730">
        <v>2.58</v>
      </c>
    </row>
    <row r="731" spans="1:9" ht="15" customHeight="1" x14ac:dyDescent="0.15">
      <c r="A731" s="6"/>
      <c r="D731" t="s">
        <v>90</v>
      </c>
      <c r="E731" t="str">
        <f>E154&amp;".576"</f>
        <v>7.576</v>
      </c>
      <c r="F731" t="s">
        <v>2590</v>
      </c>
      <c r="G731" t="s">
        <v>1088</v>
      </c>
      <c r="I731">
        <v>1.788</v>
      </c>
    </row>
    <row r="732" spans="1:9" ht="15" customHeight="1" x14ac:dyDescent="0.15">
      <c r="A732" s="6"/>
      <c r="D732" t="s">
        <v>90</v>
      </c>
      <c r="E732" t="str">
        <f>E154&amp;".577"</f>
        <v>7.577</v>
      </c>
      <c r="F732" t="s">
        <v>2591</v>
      </c>
      <c r="G732" t="s">
        <v>1088</v>
      </c>
      <c r="I732">
        <v>4.01</v>
      </c>
    </row>
    <row r="733" spans="1:9" ht="15" customHeight="1" x14ac:dyDescent="0.15">
      <c r="A733" s="6"/>
      <c r="D733" t="s">
        <v>90</v>
      </c>
      <c r="E733" t="str">
        <f>E154&amp;".578"</f>
        <v>7.578</v>
      </c>
      <c r="F733" t="s">
        <v>2592</v>
      </c>
      <c r="G733" t="s">
        <v>1088</v>
      </c>
      <c r="I733">
        <v>66.64</v>
      </c>
    </row>
    <row r="734" spans="1:9" ht="15" customHeight="1" x14ac:dyDescent="0.15">
      <c r="A734" s="6"/>
      <c r="D734" t="s">
        <v>90</v>
      </c>
      <c r="E734" t="str">
        <f>E154&amp;".579"</f>
        <v>7.579</v>
      </c>
      <c r="F734" t="s">
        <v>2593</v>
      </c>
      <c r="G734" t="s">
        <v>1088</v>
      </c>
      <c r="I734">
        <v>0.28799999999999998</v>
      </c>
    </row>
    <row r="735" spans="1:9" ht="15" customHeight="1" x14ac:dyDescent="0.15">
      <c r="A735" s="6"/>
      <c r="D735" t="s">
        <v>90</v>
      </c>
      <c r="E735" t="str">
        <f>E154&amp;".580"</f>
        <v>7.580</v>
      </c>
      <c r="F735" t="s">
        <v>2594</v>
      </c>
      <c r="G735" t="s">
        <v>1088</v>
      </c>
      <c r="I735">
        <v>0.74</v>
      </c>
    </row>
    <row r="736" spans="1:9" ht="15" customHeight="1" x14ac:dyDescent="0.15">
      <c r="A736" s="6"/>
      <c r="D736" t="s">
        <v>90</v>
      </c>
      <c r="E736" t="str">
        <f>E154&amp;".581"</f>
        <v>7.581</v>
      </c>
      <c r="F736" t="s">
        <v>2595</v>
      </c>
      <c r="G736" t="s">
        <v>1088</v>
      </c>
      <c r="I736">
        <v>2.16</v>
      </c>
    </row>
    <row r="737" spans="1:9" ht="15" customHeight="1" x14ac:dyDescent="0.15">
      <c r="A737" s="6"/>
      <c r="D737" t="s">
        <v>90</v>
      </c>
      <c r="E737" t="str">
        <f>E154&amp;".582"</f>
        <v>7.582</v>
      </c>
      <c r="F737" t="s">
        <v>2596</v>
      </c>
      <c r="G737" t="s">
        <v>1088</v>
      </c>
      <c r="I737">
        <v>2.97</v>
      </c>
    </row>
    <row r="738" spans="1:9" ht="15" customHeight="1" x14ac:dyDescent="0.15">
      <c r="A738" s="6"/>
      <c r="D738" t="s">
        <v>90</v>
      </c>
      <c r="E738" t="str">
        <f>E154&amp;".583"</f>
        <v>7.583</v>
      </c>
      <c r="F738" t="s">
        <v>2597</v>
      </c>
      <c r="G738" t="s">
        <v>1088</v>
      </c>
      <c r="I738">
        <v>2.58</v>
      </c>
    </row>
    <row r="739" spans="1:9" ht="15" customHeight="1" x14ac:dyDescent="0.15">
      <c r="A739" s="6"/>
      <c r="D739" t="s">
        <v>90</v>
      </c>
      <c r="E739" t="str">
        <f>E154&amp;".584"</f>
        <v>7.584</v>
      </c>
      <c r="F739" t="s">
        <v>2598</v>
      </c>
      <c r="G739" t="s">
        <v>1088</v>
      </c>
      <c r="I739">
        <v>1.49</v>
      </c>
    </row>
    <row r="740" spans="1:9" ht="15" customHeight="1" x14ac:dyDescent="0.15">
      <c r="A740" s="6"/>
      <c r="D740" t="s">
        <v>90</v>
      </c>
      <c r="E740" t="str">
        <f>E154&amp;".585"</f>
        <v>7.585</v>
      </c>
      <c r="F740" t="s">
        <v>2599</v>
      </c>
      <c r="G740" t="s">
        <v>1088</v>
      </c>
      <c r="I740">
        <v>1.04</v>
      </c>
    </row>
    <row r="741" spans="1:9" ht="15" customHeight="1" x14ac:dyDescent="0.15">
      <c r="A741" s="6"/>
      <c r="D741" t="s">
        <v>90</v>
      </c>
      <c r="E741" t="str">
        <f>E154&amp;".586"</f>
        <v>7.586</v>
      </c>
      <c r="F741" t="s">
        <v>2600</v>
      </c>
      <c r="G741" t="s">
        <v>1088</v>
      </c>
      <c r="I741">
        <v>1.806</v>
      </c>
    </row>
    <row r="742" spans="1:9" ht="15" customHeight="1" x14ac:dyDescent="0.15">
      <c r="A742" s="6"/>
      <c r="D742" t="s">
        <v>90</v>
      </c>
      <c r="E742" t="str">
        <f>E154&amp;".587"</f>
        <v>7.587</v>
      </c>
      <c r="F742" t="s">
        <v>2601</v>
      </c>
      <c r="G742" t="s">
        <v>1088</v>
      </c>
      <c r="I742">
        <v>1.69</v>
      </c>
    </row>
    <row r="743" spans="1:9" ht="15" customHeight="1" x14ac:dyDescent="0.15">
      <c r="A743" s="6"/>
      <c r="D743" t="s">
        <v>90</v>
      </c>
      <c r="E743" t="str">
        <f>E154&amp;".588"</f>
        <v>7.588</v>
      </c>
      <c r="F743" t="s">
        <v>2602</v>
      </c>
      <c r="G743" t="s">
        <v>1088</v>
      </c>
      <c r="I743">
        <v>1.032</v>
      </c>
    </row>
    <row r="744" spans="1:9" ht="15" customHeight="1" x14ac:dyDescent="0.15">
      <c r="A744" s="6"/>
      <c r="D744" t="s">
        <v>90</v>
      </c>
      <c r="E744" t="str">
        <f>E154&amp;".589"</f>
        <v>7.589</v>
      </c>
      <c r="F744" t="s">
        <v>2603</v>
      </c>
      <c r="G744" t="s">
        <v>1088</v>
      </c>
      <c r="I744">
        <v>13.47</v>
      </c>
    </row>
    <row r="745" spans="1:9" ht="15" customHeight="1" x14ac:dyDescent="0.15">
      <c r="A745" s="6"/>
      <c r="D745" t="s">
        <v>90</v>
      </c>
      <c r="E745" t="str">
        <f>E154&amp;".590"</f>
        <v>7.590</v>
      </c>
      <c r="F745" t="s">
        <v>2604</v>
      </c>
      <c r="G745" t="s">
        <v>1088</v>
      </c>
      <c r="I745">
        <v>2.0640000000000001</v>
      </c>
    </row>
    <row r="746" spans="1:9" ht="15" customHeight="1" x14ac:dyDescent="0.15">
      <c r="A746" s="6"/>
      <c r="D746" t="s">
        <v>90</v>
      </c>
      <c r="E746" t="str">
        <f>E154&amp;".591"</f>
        <v>7.591</v>
      </c>
      <c r="F746" t="s">
        <v>2605</v>
      </c>
      <c r="G746" t="s">
        <v>1088</v>
      </c>
      <c r="I746">
        <v>2.0640000000000001</v>
      </c>
    </row>
    <row r="747" spans="1:9" ht="15" customHeight="1" x14ac:dyDescent="0.15">
      <c r="A747" s="6"/>
      <c r="D747" t="s">
        <v>90</v>
      </c>
      <c r="E747" t="str">
        <f>E154&amp;".592"</f>
        <v>7.592</v>
      </c>
      <c r="F747" t="s">
        <v>2606</v>
      </c>
      <c r="G747" t="s">
        <v>1088</v>
      </c>
      <c r="I747">
        <v>0.34399999999999997</v>
      </c>
    </row>
    <row r="748" spans="1:9" ht="15" customHeight="1" x14ac:dyDescent="0.15">
      <c r="A748" s="6"/>
      <c r="D748" t="s">
        <v>90</v>
      </c>
      <c r="E748" t="str">
        <f>E154&amp;".593"</f>
        <v>7.593</v>
      </c>
      <c r="F748" t="s">
        <v>2607</v>
      </c>
      <c r="G748" t="s">
        <v>1088</v>
      </c>
      <c r="I748">
        <v>0.74399999999999999</v>
      </c>
    </row>
    <row r="749" spans="1:9" ht="15" customHeight="1" x14ac:dyDescent="0.15">
      <c r="A749" s="6"/>
      <c r="D749" t="s">
        <v>90</v>
      </c>
      <c r="E749" t="str">
        <f>E154&amp;".594"</f>
        <v>7.594</v>
      </c>
      <c r="F749" t="s">
        <v>2608</v>
      </c>
      <c r="G749" t="s">
        <v>1088</v>
      </c>
      <c r="I749">
        <v>1.08</v>
      </c>
    </row>
    <row r="750" spans="1:9" ht="15" customHeight="1" x14ac:dyDescent="0.15">
      <c r="A750" s="6"/>
      <c r="D750" t="s">
        <v>90</v>
      </c>
      <c r="E750" t="str">
        <f>E154&amp;".595"</f>
        <v>7.595</v>
      </c>
      <c r="F750" t="s">
        <v>2609</v>
      </c>
      <c r="G750" t="s">
        <v>1088</v>
      </c>
      <c r="I750">
        <v>1.72</v>
      </c>
    </row>
    <row r="751" spans="1:9" ht="15" customHeight="1" x14ac:dyDescent="0.15">
      <c r="A751" s="6"/>
      <c r="D751" t="s">
        <v>90</v>
      </c>
      <c r="E751" t="str">
        <f>E154&amp;".596"</f>
        <v>7.596</v>
      </c>
      <c r="F751" t="s">
        <v>2610</v>
      </c>
      <c r="G751" t="s">
        <v>1088</v>
      </c>
      <c r="I751">
        <v>1.69</v>
      </c>
    </row>
    <row r="752" spans="1:9" ht="15" customHeight="1" x14ac:dyDescent="0.15">
      <c r="A752" s="6"/>
      <c r="D752" t="s">
        <v>90</v>
      </c>
      <c r="E752" t="str">
        <f>E154&amp;".597"</f>
        <v>7.597</v>
      </c>
      <c r="F752" t="s">
        <v>2611</v>
      </c>
      <c r="G752" t="s">
        <v>1088</v>
      </c>
      <c r="I752">
        <v>3.24</v>
      </c>
    </row>
    <row r="753" spans="1:41" ht="15" customHeight="1" x14ac:dyDescent="0.15">
      <c r="A753" s="6"/>
      <c r="D753" t="s">
        <v>90</v>
      </c>
      <c r="E753" t="str">
        <f>E154&amp;".598"</f>
        <v>7.598</v>
      </c>
      <c r="F753" t="s">
        <v>2612</v>
      </c>
      <c r="G753" t="s">
        <v>1088</v>
      </c>
      <c r="I753">
        <v>1.08</v>
      </c>
    </row>
    <row r="754" spans="1:41" ht="15" customHeight="1" x14ac:dyDescent="0.15">
      <c r="A754" s="6"/>
      <c r="D754" t="s">
        <v>90</v>
      </c>
      <c r="E754" t="str">
        <f>E154&amp;".599"</f>
        <v>7.599</v>
      </c>
      <c r="F754" t="s">
        <v>2613</v>
      </c>
      <c r="G754" t="s">
        <v>1088</v>
      </c>
      <c r="I754">
        <v>0.51600000000000001</v>
      </c>
    </row>
    <row r="755" spans="1:41" ht="15" customHeight="1" x14ac:dyDescent="0.15">
      <c r="A755" s="6"/>
      <c r="D755" t="s">
        <v>90</v>
      </c>
      <c r="E755" t="str">
        <f>E154&amp;".600"</f>
        <v>7.600</v>
      </c>
      <c r="F755" t="s">
        <v>2614</v>
      </c>
      <c r="G755" t="s">
        <v>1088</v>
      </c>
      <c r="I755">
        <v>0.60199999999999998</v>
      </c>
    </row>
    <row r="756" spans="1:41" ht="15" customHeight="1" x14ac:dyDescent="0.15">
      <c r="A756" s="6"/>
      <c r="D756" t="s">
        <v>90</v>
      </c>
      <c r="E756" t="str">
        <f>E154&amp;".601"</f>
        <v>7.601</v>
      </c>
      <c r="F756" t="s">
        <v>2615</v>
      </c>
      <c r="G756" t="s">
        <v>1088</v>
      </c>
      <c r="I756">
        <v>1.06</v>
      </c>
    </row>
    <row r="757" spans="1:41" ht="15" customHeight="1" x14ac:dyDescent="0.15">
      <c r="A757" s="6"/>
      <c r="F757" t="s">
        <v>1816</v>
      </c>
    </row>
    <row r="758" spans="1:41" ht="30" customHeight="1" x14ac:dyDescent="0.15">
      <c r="A758" s="6"/>
      <c r="E758" t="str">
        <f>FHD_NUM_P_62</f>
        <v>8</v>
      </c>
      <c r="F758" t="str">
        <f>FHD_P_62</f>
        <v>Тепловая нагрузка по договорам, заключенным в рамках осуществления регулируемых видов деятельности</v>
      </c>
      <c r="G758" t="s">
        <v>1088</v>
      </c>
      <c r="I758">
        <v>1121.83</v>
      </c>
      <c r="J758">
        <v>117.78</v>
      </c>
      <c r="K758">
        <v>9.39</v>
      </c>
      <c r="L758">
        <v>3.7999999999999999E-2</v>
      </c>
      <c r="M758">
        <v>4.5199999999999996</v>
      </c>
      <c r="N758">
        <v>0.37</v>
      </c>
      <c r="O758">
        <v>2.96</v>
      </c>
      <c r="P758">
        <v>2.62</v>
      </c>
      <c r="Q758">
        <v>0.33</v>
      </c>
      <c r="R758">
        <v>6.0000000000000001E-3</v>
      </c>
      <c r="S758">
        <v>0.23799999999999999</v>
      </c>
      <c r="T758">
        <v>1.573</v>
      </c>
      <c r="U758">
        <v>1.0629999999999999</v>
      </c>
      <c r="V758">
        <v>0</v>
      </c>
      <c r="W758">
        <v>0</v>
      </c>
      <c r="X758">
        <v>0</v>
      </c>
      <c r="Y758">
        <v>0</v>
      </c>
      <c r="Z758">
        <v>0</v>
      </c>
      <c r="AA758">
        <v>0</v>
      </c>
      <c r="AB758">
        <v>0</v>
      </c>
      <c r="AC758">
        <v>0</v>
      </c>
      <c r="AD758">
        <v>0</v>
      </c>
      <c r="AE758">
        <v>0</v>
      </c>
      <c r="AF758">
        <v>0</v>
      </c>
      <c r="AG758">
        <v>0</v>
      </c>
      <c r="AH758">
        <v>0</v>
      </c>
      <c r="AI758">
        <v>2.88</v>
      </c>
      <c r="AJ758">
        <v>9.39</v>
      </c>
      <c r="AK758">
        <v>0.27</v>
      </c>
      <c r="AL758">
        <v>0</v>
      </c>
      <c r="AM758">
        <v>0</v>
      </c>
      <c r="AN758">
        <v>0</v>
      </c>
      <c r="AO758">
        <v>0</v>
      </c>
    </row>
    <row r="759" spans="1:41" ht="36" customHeight="1" x14ac:dyDescent="0.15">
      <c r="A759" s="6"/>
      <c r="E759" t="str">
        <f>FHD_NUM_P_63</f>
        <v>9</v>
      </c>
      <c r="F759" t="str">
        <f>FHD_P_63</f>
        <v>Объем вырабатываемой регулируемой организацией тепловой энергии в рамках осуществления регулируемых видов деятельности</v>
      </c>
      <c r="G759" t="s">
        <v>1304</v>
      </c>
      <c r="I759">
        <v>2845.6567</v>
      </c>
      <c r="J759">
        <v>378.205225122</v>
      </c>
      <c r="K759">
        <v>239.00059999999999</v>
      </c>
      <c r="L759">
        <v>8.1000000000000003E-2</v>
      </c>
      <c r="M759">
        <v>60.827500000000001</v>
      </c>
      <c r="N759">
        <v>3.7370000000000001</v>
      </c>
      <c r="O759">
        <v>12.2468</v>
      </c>
      <c r="P759">
        <v>2.9763999999999999</v>
      </c>
      <c r="Q759">
        <v>0.39710000000000001</v>
      </c>
      <c r="R759">
        <v>8.2000000000000007E-3</v>
      </c>
      <c r="S759">
        <v>0.4607</v>
      </c>
      <c r="T759">
        <v>0</v>
      </c>
      <c r="U759">
        <v>3.1147</v>
      </c>
      <c r="V759">
        <v>2.0142000000000002</v>
      </c>
      <c r="W759">
        <v>0</v>
      </c>
      <c r="X759">
        <v>0</v>
      </c>
      <c r="Y759">
        <v>0</v>
      </c>
      <c r="Z759">
        <v>0</v>
      </c>
      <c r="AA759">
        <v>0</v>
      </c>
      <c r="AB759">
        <v>0</v>
      </c>
      <c r="AC759">
        <v>0</v>
      </c>
      <c r="AD759">
        <v>0</v>
      </c>
      <c r="AE759">
        <v>0</v>
      </c>
      <c r="AF759">
        <v>0</v>
      </c>
      <c r="AG759">
        <v>0</v>
      </c>
      <c r="AH759">
        <v>0</v>
      </c>
      <c r="AI759">
        <v>2.01418173548949</v>
      </c>
      <c r="AJ759">
        <v>64.900120112713296</v>
      </c>
      <c r="AK759">
        <v>43.159199999999998</v>
      </c>
      <c r="AL759">
        <v>0</v>
      </c>
      <c r="AM759">
        <v>0</v>
      </c>
      <c r="AN759">
        <v>0</v>
      </c>
      <c r="AO759">
        <v>0</v>
      </c>
    </row>
    <row r="760" spans="1:41" ht="31.5" customHeight="1" x14ac:dyDescent="0.15">
      <c r="A760" s="6"/>
      <c r="C760" t="s">
        <v>2616</v>
      </c>
      <c r="E760" t="str">
        <f>FHD_NUM_P_64</f>
        <v>9.1</v>
      </c>
      <c r="F760" t="str">
        <f>FHD_P_64</f>
        <v>Объем приобретаемой регулируемой организацией тепловой энергии в рамках осуществления регулируемых видов деятельности</v>
      </c>
      <c r="G760" t="s">
        <v>1304</v>
      </c>
    </row>
    <row r="761" spans="1:41" ht="55.5" customHeight="1" x14ac:dyDescent="0.15">
      <c r="A761" s="6"/>
      <c r="E761" t="str">
        <f>FHD_NUM_P_65</f>
        <v>10</v>
      </c>
      <c r="F76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761" t="s">
        <v>1304</v>
      </c>
      <c r="I761">
        <v>2219.9949999999999</v>
      </c>
      <c r="J761">
        <v>305.29390000000001</v>
      </c>
      <c r="K761">
        <v>181.48679999999999</v>
      </c>
      <c r="L761">
        <v>4.5100000000000001E-2</v>
      </c>
      <c r="M761">
        <v>29.500599999999999</v>
      </c>
      <c r="N761">
        <v>1.7917000000000001</v>
      </c>
      <c r="O761">
        <v>4.3987999999999996</v>
      </c>
      <c r="P761">
        <v>2.4601999999999999</v>
      </c>
      <c r="Q761">
        <v>383.31290000000001</v>
      </c>
      <c r="R761">
        <v>6.7999999999999996E-3</v>
      </c>
      <c r="S761">
        <v>0.47560000000000002</v>
      </c>
      <c r="T761">
        <v>1.9198999999999999</v>
      </c>
      <c r="U761">
        <v>2.6095000000000002</v>
      </c>
      <c r="V761">
        <v>0</v>
      </c>
      <c r="W761">
        <v>0</v>
      </c>
      <c r="X761">
        <v>0</v>
      </c>
      <c r="Y761">
        <v>0</v>
      </c>
      <c r="Z761">
        <v>0</v>
      </c>
      <c r="AA761">
        <v>0</v>
      </c>
      <c r="AB761">
        <v>0</v>
      </c>
      <c r="AC761">
        <v>0</v>
      </c>
      <c r="AD761">
        <v>0</v>
      </c>
      <c r="AE761">
        <v>0</v>
      </c>
      <c r="AF761">
        <v>0</v>
      </c>
      <c r="AG761">
        <v>0</v>
      </c>
      <c r="AH761">
        <v>0</v>
      </c>
      <c r="AI761">
        <v>1.488</v>
      </c>
      <c r="AJ761">
        <v>181.48679999999999</v>
      </c>
      <c r="AK761">
        <v>19.308499999999999</v>
      </c>
      <c r="AL761">
        <v>0</v>
      </c>
      <c r="AM761">
        <v>0</v>
      </c>
      <c r="AN761">
        <v>0</v>
      </c>
      <c r="AO761">
        <v>0</v>
      </c>
    </row>
    <row r="762" spans="1:41" ht="25.5" customHeight="1" x14ac:dyDescent="0.15">
      <c r="A762" s="6"/>
      <c r="E762" t="str">
        <f>FHD_NUM_P_66</f>
        <v>10.1</v>
      </c>
      <c r="F762" t="str">
        <f>FHD_P_66</f>
        <v xml:space="preserve">По приборам учёта </v>
      </c>
      <c r="G762" t="s">
        <v>1304</v>
      </c>
      <c r="I762">
        <v>1323.9321</v>
      </c>
      <c r="J762">
        <v>131.2773</v>
      </c>
      <c r="K762">
        <v>46.055</v>
      </c>
      <c r="L762">
        <v>4.5100000000000001E-2</v>
      </c>
      <c r="M762">
        <v>12.896000000000001</v>
      </c>
      <c r="N762">
        <v>0.68689999999999996</v>
      </c>
      <c r="O762">
        <v>2.9489999999999998</v>
      </c>
      <c r="P762">
        <v>1.5698000000000001</v>
      </c>
      <c r="Q762">
        <v>174.04249999999999</v>
      </c>
      <c r="R762">
        <v>6.1000000000000004E-3</v>
      </c>
      <c r="S762">
        <v>0.159</v>
      </c>
      <c r="T762">
        <v>0.33879999999999999</v>
      </c>
      <c r="U762">
        <v>1.4414</v>
      </c>
      <c r="V762">
        <v>0</v>
      </c>
      <c r="W762">
        <v>0</v>
      </c>
      <c r="X762">
        <v>0</v>
      </c>
      <c r="Y762">
        <v>0</v>
      </c>
      <c r="Z762">
        <v>0</v>
      </c>
      <c r="AA762">
        <v>0</v>
      </c>
      <c r="AB762">
        <v>0</v>
      </c>
      <c r="AC762">
        <v>0</v>
      </c>
      <c r="AD762">
        <v>0</v>
      </c>
      <c r="AE762">
        <v>0</v>
      </c>
      <c r="AF762">
        <v>0</v>
      </c>
      <c r="AG762">
        <v>0</v>
      </c>
      <c r="AH762">
        <v>0</v>
      </c>
      <c r="AI762">
        <v>0.91790000000000005</v>
      </c>
      <c r="AJ762">
        <v>46.055</v>
      </c>
      <c r="AK762">
        <v>10.8096</v>
      </c>
      <c r="AL762">
        <v>0</v>
      </c>
      <c r="AM762">
        <v>0</v>
      </c>
      <c r="AN762">
        <v>0</v>
      </c>
      <c r="AO762">
        <v>0</v>
      </c>
    </row>
    <row r="763" spans="1:41" ht="51.75" customHeight="1" x14ac:dyDescent="0.15">
      <c r="A763" s="6"/>
      <c r="E763" t="str">
        <f>FHD_NUM_P_67</f>
        <v>10.1.1</v>
      </c>
      <c r="F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763" t="s">
        <v>1304</v>
      </c>
      <c r="I763">
        <v>0</v>
      </c>
      <c r="J763">
        <v>0</v>
      </c>
      <c r="K763">
        <v>0</v>
      </c>
      <c r="L763">
        <v>0</v>
      </c>
      <c r="M763">
        <v>0</v>
      </c>
      <c r="N763">
        <v>0</v>
      </c>
      <c r="O763">
        <v>0</v>
      </c>
      <c r="P763">
        <v>0</v>
      </c>
      <c r="Q763">
        <v>0</v>
      </c>
      <c r="R763">
        <v>0</v>
      </c>
      <c r="S763">
        <v>0</v>
      </c>
      <c r="T763">
        <v>0</v>
      </c>
      <c r="U763">
        <v>0</v>
      </c>
      <c r="V763">
        <v>0</v>
      </c>
      <c r="W763">
        <v>0</v>
      </c>
      <c r="X763">
        <v>0</v>
      </c>
      <c r="Y763">
        <v>0</v>
      </c>
      <c r="Z763">
        <v>0</v>
      </c>
      <c r="AA763">
        <v>0</v>
      </c>
      <c r="AB763">
        <v>0</v>
      </c>
      <c r="AC763">
        <v>0</v>
      </c>
      <c r="AD763">
        <v>0</v>
      </c>
      <c r="AE763">
        <v>0</v>
      </c>
      <c r="AF763">
        <v>0</v>
      </c>
      <c r="AG763">
        <v>0</v>
      </c>
      <c r="AH763">
        <v>0</v>
      </c>
      <c r="AI763">
        <v>0</v>
      </c>
      <c r="AJ763">
        <v>0</v>
      </c>
      <c r="AK763">
        <v>0</v>
      </c>
      <c r="AL763">
        <v>0</v>
      </c>
      <c r="AM763">
        <v>0</v>
      </c>
      <c r="AN763">
        <v>0</v>
      </c>
      <c r="AO763">
        <v>0</v>
      </c>
    </row>
    <row r="764" spans="1:41" ht="28.5" customHeight="1" x14ac:dyDescent="0.15">
      <c r="A764" s="6"/>
      <c r="E764" t="str">
        <f>FHD_NUM_P_68</f>
        <v>10.2</v>
      </c>
      <c r="F764" t="str">
        <f>FHD_P_68</f>
        <v>Расчётным путём</v>
      </c>
      <c r="G764" t="s">
        <v>1304</v>
      </c>
      <c r="I764">
        <v>0</v>
      </c>
      <c r="J764">
        <v>0</v>
      </c>
      <c r="K764">
        <v>0</v>
      </c>
      <c r="L764">
        <v>0</v>
      </c>
      <c r="M764">
        <v>0</v>
      </c>
      <c r="N764">
        <v>0</v>
      </c>
      <c r="O764">
        <v>0</v>
      </c>
      <c r="P764">
        <v>0</v>
      </c>
      <c r="Q764">
        <v>0</v>
      </c>
      <c r="R764">
        <v>0</v>
      </c>
      <c r="S764">
        <v>0</v>
      </c>
      <c r="T764">
        <v>0</v>
      </c>
      <c r="U764">
        <v>0</v>
      </c>
      <c r="V764">
        <v>0</v>
      </c>
      <c r="W764">
        <v>0</v>
      </c>
      <c r="X764">
        <v>0</v>
      </c>
      <c r="Y764">
        <v>0</v>
      </c>
      <c r="Z764">
        <v>0</v>
      </c>
      <c r="AA764">
        <v>0</v>
      </c>
      <c r="AB764">
        <v>0</v>
      </c>
      <c r="AC764">
        <v>0</v>
      </c>
      <c r="AD764">
        <v>0</v>
      </c>
      <c r="AE764">
        <v>0</v>
      </c>
      <c r="AF764">
        <v>0</v>
      </c>
      <c r="AG764">
        <v>0</v>
      </c>
      <c r="AH764">
        <v>0</v>
      </c>
      <c r="AI764">
        <v>0</v>
      </c>
      <c r="AJ764">
        <v>0</v>
      </c>
      <c r="AK764">
        <v>0</v>
      </c>
      <c r="AL764">
        <v>0</v>
      </c>
      <c r="AM764">
        <v>0</v>
      </c>
      <c r="AN764">
        <v>0</v>
      </c>
      <c r="AO764">
        <v>0</v>
      </c>
    </row>
    <row r="765" spans="1:41" ht="50.25" customHeight="1" x14ac:dyDescent="0.15">
      <c r="A765" s="6"/>
      <c r="E765" t="str">
        <f>FHD_NUM_P_69</f>
        <v>10.3</v>
      </c>
      <c r="F765" t="str">
        <f>FHD_P_69</f>
        <v>По нормативам потребления коммунальных услуг и нормативам потребления коммунальных ресурсов</v>
      </c>
      <c r="G765" t="s">
        <v>1304</v>
      </c>
      <c r="I765">
        <v>896.06320000000005</v>
      </c>
      <c r="J765">
        <v>174.01660000000001</v>
      </c>
      <c r="K765">
        <v>135.43180000000001</v>
      </c>
      <c r="L765">
        <v>0</v>
      </c>
      <c r="M765">
        <v>16.604600000000001</v>
      </c>
      <c r="N765">
        <v>1.1048</v>
      </c>
      <c r="O765">
        <v>1.4498</v>
      </c>
      <c r="P765">
        <v>0.89039999999999997</v>
      </c>
      <c r="Q765">
        <v>209.2704</v>
      </c>
      <c r="R765">
        <v>5.9999999999999995E-4</v>
      </c>
      <c r="S765">
        <v>0.31659999999999999</v>
      </c>
      <c r="T765">
        <v>1.5810999999999999</v>
      </c>
      <c r="U765">
        <v>1.1679999999999999</v>
      </c>
      <c r="V765">
        <v>0</v>
      </c>
      <c r="W765">
        <v>0</v>
      </c>
      <c r="X765">
        <v>0</v>
      </c>
      <c r="Y765">
        <v>0</v>
      </c>
      <c r="Z765">
        <v>0</v>
      </c>
      <c r="AA765">
        <v>0</v>
      </c>
      <c r="AB765">
        <v>0</v>
      </c>
      <c r="AC765">
        <v>0</v>
      </c>
      <c r="AD765">
        <v>0</v>
      </c>
      <c r="AE765">
        <v>0</v>
      </c>
      <c r="AF765">
        <v>0</v>
      </c>
      <c r="AG765">
        <v>0</v>
      </c>
      <c r="AH765">
        <v>0</v>
      </c>
      <c r="AI765">
        <v>0.57020000000000004</v>
      </c>
      <c r="AJ765">
        <v>135.43180000000001</v>
      </c>
      <c r="AK765">
        <v>8.4989530000000002</v>
      </c>
      <c r="AL765">
        <v>0</v>
      </c>
      <c r="AM765">
        <v>0</v>
      </c>
      <c r="AN765">
        <v>0</v>
      </c>
      <c r="AO765">
        <v>0</v>
      </c>
    </row>
    <row r="766" spans="1:41" ht="36.75" customHeight="1" x14ac:dyDescent="0.15">
      <c r="A766" s="6"/>
      <c r="E766" t="str">
        <f>FHD_NUM_P_70</f>
        <v>11</v>
      </c>
      <c r="F766" t="str">
        <f>FHD_P_70</f>
        <v>Нормативы технологических потерь при передаче тепловой энергии, теплоносителя по тепловым сетям, утвержденные уполномоченным органом</v>
      </c>
      <c r="G766" t="s">
        <v>2617</v>
      </c>
      <c r="I766">
        <v>567.24</v>
      </c>
      <c r="J766">
        <v>59.27</v>
      </c>
      <c r="K766">
        <v>68.59</v>
      </c>
      <c r="L766">
        <v>0.03</v>
      </c>
      <c r="M766">
        <v>19.84</v>
      </c>
      <c r="N766">
        <v>1.41</v>
      </c>
      <c r="O766">
        <v>3.33</v>
      </c>
      <c r="P766">
        <v>0.34</v>
      </c>
      <c r="Q766">
        <v>0.04</v>
      </c>
      <c r="R766">
        <v>0</v>
      </c>
      <c r="S766">
        <v>0.01</v>
      </c>
      <c r="T766">
        <v>0.14000000000000001</v>
      </c>
      <c r="U766">
        <v>0.33</v>
      </c>
      <c r="V766">
        <v>0</v>
      </c>
      <c r="W766">
        <v>0</v>
      </c>
      <c r="X766">
        <v>0</v>
      </c>
      <c r="Y766">
        <v>0</v>
      </c>
      <c r="Z766">
        <v>0</v>
      </c>
      <c r="AA766">
        <v>0</v>
      </c>
      <c r="AB766">
        <v>0</v>
      </c>
      <c r="AC766">
        <v>0</v>
      </c>
      <c r="AD766">
        <v>0</v>
      </c>
      <c r="AE766">
        <v>0</v>
      </c>
      <c r="AF766">
        <v>0</v>
      </c>
      <c r="AG766">
        <v>0</v>
      </c>
      <c r="AH766">
        <v>0</v>
      </c>
      <c r="AI766">
        <v>0.47</v>
      </c>
      <c r="AJ766">
        <v>0</v>
      </c>
      <c r="AK766">
        <v>0</v>
      </c>
      <c r="AL766">
        <v>0</v>
      </c>
      <c r="AM766">
        <v>0</v>
      </c>
      <c r="AN766">
        <v>0</v>
      </c>
      <c r="AO766">
        <v>0</v>
      </c>
    </row>
    <row r="767" spans="1:41" ht="39.75" customHeight="1" x14ac:dyDescent="0.15">
      <c r="A767" s="6"/>
      <c r="E767" t="str">
        <f>FHD_NUM_P_71</f>
        <v>12</v>
      </c>
      <c r="F767" t="str">
        <f>FHD_P_71</f>
        <v>Фактический объем потерь при передаче тепловой энергии</v>
      </c>
      <c r="G767" t="s">
        <v>2617</v>
      </c>
      <c r="I767">
        <v>596.77</v>
      </c>
      <c r="J767">
        <v>58.6</v>
      </c>
      <c r="K767">
        <v>61.88</v>
      </c>
      <c r="L767">
        <v>0.03</v>
      </c>
      <c r="M767">
        <v>19.11</v>
      </c>
      <c r="N767">
        <v>0.21</v>
      </c>
      <c r="O767">
        <v>5.72</v>
      </c>
      <c r="P767">
        <v>0.39</v>
      </c>
      <c r="Q767">
        <v>0</v>
      </c>
      <c r="R767">
        <v>0</v>
      </c>
      <c r="S767">
        <v>4.5623258244883703E-2</v>
      </c>
      <c r="T767">
        <v>0.84</v>
      </c>
      <c r="U767">
        <v>0.28999999999999998</v>
      </c>
      <c r="V767">
        <v>0</v>
      </c>
      <c r="W767">
        <v>0</v>
      </c>
      <c r="X767">
        <v>0</v>
      </c>
      <c r="Y767">
        <v>0</v>
      </c>
      <c r="Z767">
        <v>0</v>
      </c>
      <c r="AA767">
        <v>0</v>
      </c>
      <c r="AB767">
        <v>0</v>
      </c>
      <c r="AC767">
        <v>0</v>
      </c>
      <c r="AD767">
        <v>0</v>
      </c>
      <c r="AE767">
        <v>0</v>
      </c>
      <c r="AF767">
        <v>0</v>
      </c>
      <c r="AG767">
        <v>0</v>
      </c>
      <c r="AH767">
        <v>0</v>
      </c>
      <c r="AI767">
        <v>0.36</v>
      </c>
      <c r="AJ767">
        <v>38.5</v>
      </c>
      <c r="AK767">
        <v>22.22</v>
      </c>
      <c r="AL767">
        <v>0</v>
      </c>
      <c r="AM767">
        <v>0</v>
      </c>
      <c r="AN767">
        <v>0</v>
      </c>
      <c r="AO767">
        <v>0</v>
      </c>
    </row>
    <row r="768" spans="1:41" ht="23.25" customHeight="1" x14ac:dyDescent="0.15">
      <c r="E768" t="str">
        <f>FHD_NUM_P_72</f>
        <v>13</v>
      </c>
      <c r="F768" t="str">
        <f>FHD_P_72</f>
        <v>Среднесписочная численность основного производственного персонала</v>
      </c>
      <c r="G768" t="s">
        <v>2618</v>
      </c>
      <c r="I768">
        <v>5026.3134</v>
      </c>
      <c r="J768">
        <v>380.18130000000002</v>
      </c>
      <c r="K768">
        <v>236.16309999999999</v>
      </c>
      <c r="L768">
        <v>6.3399999999999998E-2</v>
      </c>
      <c r="M768">
        <v>36.191600000000001</v>
      </c>
      <c r="N768">
        <v>1.7494000000000001</v>
      </c>
      <c r="O768">
        <v>4.6025</v>
      </c>
      <c r="P768">
        <v>4.0994000000000002</v>
      </c>
      <c r="Q768">
        <v>0.79210000000000003</v>
      </c>
      <c r="R768">
        <v>1.7000000000000001E-2</v>
      </c>
      <c r="S768">
        <v>0.45429999999999998</v>
      </c>
      <c r="T768">
        <v>0.31640000000000001</v>
      </c>
      <c r="U768">
        <v>4.8358999999999996</v>
      </c>
      <c r="V768">
        <v>4.1300000000000003E-2</v>
      </c>
      <c r="W768">
        <v>8.1136999999999997</v>
      </c>
      <c r="X768">
        <v>0.16900000000000001</v>
      </c>
      <c r="Y768">
        <v>0.04</v>
      </c>
      <c r="Z768">
        <v>4.2200000000000001E-2</v>
      </c>
      <c r="AA768">
        <v>3.7900000000000003E-2</v>
      </c>
      <c r="AB768">
        <v>3.7100000000000001E-2</v>
      </c>
      <c r="AC768">
        <v>3.1899999999999998E-2</v>
      </c>
      <c r="AD768">
        <v>0.22839999999999999</v>
      </c>
      <c r="AE768">
        <v>4.6300000000000001E-2</v>
      </c>
      <c r="AF768">
        <v>5.0599999999999999E-2</v>
      </c>
      <c r="AG768">
        <v>0.1641</v>
      </c>
      <c r="AH768">
        <v>0</v>
      </c>
      <c r="AI768">
        <v>2.3546999999999998</v>
      </c>
      <c r="AJ768">
        <v>20.728999999999999</v>
      </c>
      <c r="AK768">
        <v>8.6015999999999995</v>
      </c>
      <c r="AL768">
        <v>0</v>
      </c>
      <c r="AM768">
        <v>0.1346</v>
      </c>
      <c r="AN768">
        <v>0</v>
      </c>
      <c r="AO768">
        <v>0</v>
      </c>
    </row>
    <row r="769" spans="1:41" ht="34.5" customHeight="1" x14ac:dyDescent="0.15">
      <c r="A769" t="s">
        <v>2619</v>
      </c>
      <c r="E769" t="str">
        <f>FHD_NUM_P_73</f>
        <v>14</v>
      </c>
      <c r="F769" t="str">
        <f>FHD_P_73</f>
        <v>Среднесписочная численность административно-управленческого персонала</v>
      </c>
      <c r="G769" t="s">
        <v>2618</v>
      </c>
      <c r="I769">
        <v>1384.0742</v>
      </c>
      <c r="J769">
        <v>115.78749999999999</v>
      </c>
      <c r="K769">
        <v>73.379499999999993</v>
      </c>
      <c r="L769">
        <v>1.4800000000000001E-2</v>
      </c>
      <c r="M769">
        <v>9.2561999999999998</v>
      </c>
      <c r="N769">
        <v>0.44740000000000002</v>
      </c>
      <c r="O769">
        <v>0.99919999999999998</v>
      </c>
      <c r="P769">
        <v>1.1020000000000001</v>
      </c>
      <c r="Q769">
        <v>0.17199999999999999</v>
      </c>
      <c r="R769">
        <v>3.7000000000000002E-3</v>
      </c>
      <c r="S769">
        <v>0.10639999999999999</v>
      </c>
      <c r="T769">
        <v>7.4099999999999999E-2</v>
      </c>
      <c r="U769">
        <v>1.3</v>
      </c>
      <c r="V769">
        <v>0</v>
      </c>
      <c r="W769">
        <v>0</v>
      </c>
      <c r="X769">
        <v>0</v>
      </c>
      <c r="Y769">
        <v>0</v>
      </c>
      <c r="Z769">
        <v>0</v>
      </c>
      <c r="AA769">
        <v>0</v>
      </c>
      <c r="AB769">
        <v>0</v>
      </c>
      <c r="AC769">
        <v>0</v>
      </c>
      <c r="AD769">
        <v>0</v>
      </c>
      <c r="AE769">
        <v>0</v>
      </c>
      <c r="AF769">
        <v>0</v>
      </c>
      <c r="AG769">
        <v>0</v>
      </c>
      <c r="AH769">
        <v>0</v>
      </c>
      <c r="AI769">
        <v>0.628</v>
      </c>
      <c r="AJ769">
        <v>6.3132000000000001</v>
      </c>
      <c r="AK769">
        <v>2.6726000000000001</v>
      </c>
      <c r="AL769">
        <v>0</v>
      </c>
      <c r="AM769">
        <v>0</v>
      </c>
      <c r="AN769">
        <v>0</v>
      </c>
      <c r="AO769">
        <v>0</v>
      </c>
    </row>
    <row r="770" spans="1:41" ht="15" hidden="1" customHeight="1" x14ac:dyDescent="0.15">
      <c r="A770" t="s">
        <v>2620</v>
      </c>
      <c r="E770" t="str">
        <f>FHD_NUM_P_74</f>
        <v/>
      </c>
      <c r="F770" t="str">
        <f>FHD_P_74</f>
        <v/>
      </c>
      <c r="G770" t="s">
        <v>2621</v>
      </c>
    </row>
    <row r="771" spans="1:41" ht="15" hidden="1" customHeight="1" x14ac:dyDescent="0.15">
      <c r="A771" s="6" t="s">
        <v>2622</v>
      </c>
      <c r="E771" t="str">
        <f>FHD_NUM_P_75</f>
        <v/>
      </c>
      <c r="F771" t="str">
        <f>FHD_P_75</f>
        <v/>
      </c>
      <c r="G771" t="s">
        <v>1878</v>
      </c>
    </row>
    <row r="772" spans="1:41" ht="15" hidden="1" customHeight="1" x14ac:dyDescent="0.15">
      <c r="A772" s="6"/>
      <c r="E772" t="str">
        <f>FHD_NUM_P_76</f>
        <v/>
      </c>
      <c r="F772" t="str">
        <f>FHD_P_76</f>
        <v/>
      </c>
      <c r="G772" t="s">
        <v>1878</v>
      </c>
    </row>
    <row r="773" spans="1:41" ht="15" hidden="1" customHeight="1" x14ac:dyDescent="0.15">
      <c r="A773" s="6"/>
      <c r="E773" t="str">
        <f>FHD_NUM_P_77</f>
        <v/>
      </c>
      <c r="F773" t="str">
        <f>FHD_P_77</f>
        <v/>
      </c>
      <c r="G773" t="s">
        <v>1878</v>
      </c>
    </row>
    <row r="774" spans="1:41" ht="15" hidden="1" customHeight="1" x14ac:dyDescent="0.15">
      <c r="A774" s="6"/>
      <c r="E774" t="str">
        <f>E773&amp;".0"</f>
        <v>.0</v>
      </c>
    </row>
    <row r="775" spans="1:41" ht="15" hidden="1" customHeight="1" x14ac:dyDescent="0.15">
      <c r="A775" s="6"/>
      <c r="F775" t="s">
        <v>2623</v>
      </c>
    </row>
    <row r="776" spans="1:41" ht="84.75" customHeight="1" x14ac:dyDescent="0.15">
      <c r="A776" s="6" t="s">
        <v>2624</v>
      </c>
      <c r="E776" t="str">
        <f>FHD_NUM_P_78</f>
        <v>15</v>
      </c>
      <c r="F77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776" t="s">
        <v>1979</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c r="AO776">
        <v>0</v>
      </c>
    </row>
    <row r="777" spans="1:41" ht="15" customHeight="1" x14ac:dyDescent="0.15">
      <c r="A777" s="6"/>
      <c r="E777" t="str">
        <f>E776&amp;".0"</f>
        <v>15.0</v>
      </c>
    </row>
    <row r="778" spans="1:41" ht="15" customHeight="1" x14ac:dyDescent="0.15">
      <c r="A778" s="6"/>
      <c r="D778" t="s">
        <v>90</v>
      </c>
      <c r="E778" t="str">
        <f>E776&amp;".1"</f>
        <v>15.1</v>
      </c>
      <c r="F778" t="s">
        <v>2015</v>
      </c>
      <c r="G778" t="s">
        <v>1979</v>
      </c>
      <c r="J778">
        <v>204.63300000000001</v>
      </c>
    </row>
    <row r="779" spans="1:41" ht="15" customHeight="1" x14ac:dyDescent="0.15">
      <c r="A779" s="6"/>
      <c r="D779" t="s">
        <v>90</v>
      </c>
      <c r="E779" t="str">
        <f>E776&amp;".2"</f>
        <v>15.2</v>
      </c>
      <c r="F779" t="s">
        <v>2016</v>
      </c>
      <c r="G779" t="s">
        <v>1979</v>
      </c>
      <c r="J779">
        <v>170.53899999999999</v>
      </c>
    </row>
    <row r="780" spans="1:41" ht="15" customHeight="1" x14ac:dyDescent="0.15">
      <c r="A780" s="6"/>
      <c r="D780" t="s">
        <v>90</v>
      </c>
      <c r="E780" t="str">
        <f>E776&amp;".3"</f>
        <v>15.3</v>
      </c>
      <c r="F780" t="s">
        <v>2017</v>
      </c>
      <c r="G780" t="s">
        <v>1979</v>
      </c>
      <c r="J780">
        <v>190.964</v>
      </c>
    </row>
    <row r="781" spans="1:41" ht="15" customHeight="1" x14ac:dyDescent="0.15">
      <c r="A781" s="6"/>
      <c r="D781" t="s">
        <v>90</v>
      </c>
      <c r="E781" t="str">
        <f>E776&amp;".4"</f>
        <v>15.4</v>
      </c>
      <c r="F781" t="s">
        <v>2018</v>
      </c>
      <c r="G781" t="s">
        <v>1979</v>
      </c>
      <c r="J781">
        <v>315.51799999999997</v>
      </c>
    </row>
    <row r="782" spans="1:41" ht="15" customHeight="1" x14ac:dyDescent="0.15">
      <c r="A782" s="6"/>
      <c r="D782" t="s">
        <v>90</v>
      </c>
      <c r="E782" t="str">
        <f>E776&amp;".5"</f>
        <v>15.5</v>
      </c>
      <c r="F782" t="s">
        <v>2019</v>
      </c>
      <c r="G782" t="s">
        <v>1979</v>
      </c>
      <c r="J782">
        <v>317.50700000000001</v>
      </c>
    </row>
    <row r="783" spans="1:41" ht="15" customHeight="1" x14ac:dyDescent="0.15">
      <c r="A783" s="6"/>
      <c r="D783" t="s">
        <v>90</v>
      </c>
      <c r="E783" t="str">
        <f>E776&amp;".6"</f>
        <v>15.6</v>
      </c>
      <c r="F783" t="s">
        <v>2020</v>
      </c>
      <c r="G783" t="s">
        <v>1979</v>
      </c>
      <c r="J783">
        <v>321.39800000000002</v>
      </c>
    </row>
    <row r="784" spans="1:41" ht="15" customHeight="1" x14ac:dyDescent="0.15">
      <c r="A784" s="6"/>
      <c r="D784" t="s">
        <v>90</v>
      </c>
      <c r="E784" t="str">
        <f>E776&amp;".7"</f>
        <v>15.7</v>
      </c>
      <c r="F784" t="s">
        <v>2021</v>
      </c>
      <c r="G784" t="s">
        <v>1979</v>
      </c>
      <c r="J784">
        <v>324.68400000000003</v>
      </c>
    </row>
    <row r="785" spans="1:11" ht="15" customHeight="1" x14ac:dyDescent="0.15">
      <c r="A785" s="6"/>
      <c r="D785" t="s">
        <v>90</v>
      </c>
      <c r="E785" t="str">
        <f>E776&amp;".8"</f>
        <v>15.8</v>
      </c>
      <c r="F785" t="s">
        <v>2022</v>
      </c>
      <c r="G785" t="s">
        <v>1979</v>
      </c>
      <c r="J785">
        <v>322.827</v>
      </c>
    </row>
    <row r="786" spans="1:11" ht="15" customHeight="1" x14ac:dyDescent="0.15">
      <c r="A786" s="6"/>
      <c r="D786" t="s">
        <v>90</v>
      </c>
      <c r="E786" t="str">
        <f>E776&amp;".9"</f>
        <v>15.9</v>
      </c>
      <c r="F786" t="s">
        <v>2023</v>
      </c>
      <c r="G786" t="s">
        <v>1979</v>
      </c>
      <c r="J786">
        <v>190.17500000000001</v>
      </c>
    </row>
    <row r="787" spans="1:11" ht="15" customHeight="1" x14ac:dyDescent="0.15">
      <c r="A787" s="6"/>
      <c r="D787" t="s">
        <v>90</v>
      </c>
      <c r="E787" t="str">
        <f>E776&amp;".10"</f>
        <v>15.10</v>
      </c>
      <c r="F787" t="s">
        <v>2024</v>
      </c>
      <c r="G787" t="s">
        <v>1979</v>
      </c>
      <c r="K787">
        <v>210</v>
      </c>
    </row>
    <row r="788" spans="1:11" ht="15" customHeight="1" x14ac:dyDescent="0.15">
      <c r="A788" s="6"/>
      <c r="D788" t="s">
        <v>90</v>
      </c>
      <c r="E788" t="str">
        <f>E776&amp;".11"</f>
        <v>15.11</v>
      </c>
      <c r="F788" t="s">
        <v>2025</v>
      </c>
      <c r="G788" t="s">
        <v>1979</v>
      </c>
      <c r="K788">
        <v>178.2</v>
      </c>
    </row>
    <row r="789" spans="1:11" ht="15" customHeight="1" x14ac:dyDescent="0.15">
      <c r="A789" s="6"/>
      <c r="D789" t="s">
        <v>90</v>
      </c>
      <c r="E789" t="str">
        <f>E776&amp;".12"</f>
        <v>15.12</v>
      </c>
      <c r="F789" t="s">
        <v>2026</v>
      </c>
      <c r="G789" t="s">
        <v>1979</v>
      </c>
      <c r="K789">
        <v>238</v>
      </c>
    </row>
    <row r="790" spans="1:11" ht="15" customHeight="1" x14ac:dyDescent="0.15">
      <c r="A790" s="6"/>
      <c r="D790" t="s">
        <v>90</v>
      </c>
      <c r="E790" t="str">
        <f>E776&amp;".13"</f>
        <v>15.13</v>
      </c>
      <c r="F790" t="s">
        <v>2027</v>
      </c>
      <c r="G790" t="s">
        <v>1979</v>
      </c>
      <c r="K790">
        <v>228</v>
      </c>
    </row>
    <row r="791" spans="1:11" ht="15" customHeight="1" x14ac:dyDescent="0.15">
      <c r="A791" s="6"/>
      <c r="D791" t="s">
        <v>90</v>
      </c>
      <c r="E791" t="str">
        <f>E776&amp;".14"</f>
        <v>15.14</v>
      </c>
      <c r="F791" t="s">
        <v>2028</v>
      </c>
      <c r="G791" t="s">
        <v>1979</v>
      </c>
      <c r="K791">
        <v>238</v>
      </c>
    </row>
    <row r="792" spans="1:11" ht="15" customHeight="1" x14ac:dyDescent="0.15">
      <c r="A792" s="6"/>
      <c r="D792" t="s">
        <v>90</v>
      </c>
      <c r="E792" t="str">
        <f>E776&amp;".15"</f>
        <v>15.15</v>
      </c>
      <c r="F792" t="s">
        <v>2029</v>
      </c>
      <c r="G792" t="s">
        <v>1979</v>
      </c>
      <c r="K792">
        <v>158</v>
      </c>
    </row>
    <row r="793" spans="1:11" ht="15" customHeight="1" x14ac:dyDescent="0.15">
      <c r="A793" s="6"/>
      <c r="D793" t="s">
        <v>90</v>
      </c>
      <c r="E793" t="str">
        <f>E776&amp;".16"</f>
        <v>15.16</v>
      </c>
      <c r="F793" t="s">
        <v>2030</v>
      </c>
      <c r="G793" t="s">
        <v>1979</v>
      </c>
      <c r="K793">
        <v>238</v>
      </c>
    </row>
    <row r="794" spans="1:11" ht="15" customHeight="1" x14ac:dyDescent="0.15">
      <c r="A794" s="6"/>
      <c r="D794" t="s">
        <v>90</v>
      </c>
      <c r="E794" t="str">
        <f>E776&amp;".17"</f>
        <v>15.17</v>
      </c>
      <c r="F794" t="s">
        <v>2031</v>
      </c>
      <c r="G794" t="s">
        <v>1979</v>
      </c>
      <c r="K794">
        <v>210</v>
      </c>
    </row>
    <row r="795" spans="1:11" ht="15" customHeight="1" x14ac:dyDescent="0.15">
      <c r="A795" s="6"/>
      <c r="D795" t="s">
        <v>90</v>
      </c>
      <c r="E795" t="str">
        <f>E776&amp;".18"</f>
        <v>15.18</v>
      </c>
      <c r="F795" t="s">
        <v>2032</v>
      </c>
      <c r="G795" t="s">
        <v>1979</v>
      </c>
      <c r="K795">
        <v>238</v>
      </c>
    </row>
    <row r="796" spans="1:11" ht="15" customHeight="1" x14ac:dyDescent="0.15">
      <c r="A796" s="6"/>
      <c r="D796" t="s">
        <v>90</v>
      </c>
      <c r="E796" t="str">
        <f>E776&amp;".19"</f>
        <v>15.19</v>
      </c>
      <c r="F796" t="s">
        <v>2625</v>
      </c>
      <c r="G796" t="s">
        <v>1979</v>
      </c>
      <c r="I796">
        <v>168.017</v>
      </c>
    </row>
    <row r="797" spans="1:11" ht="15" customHeight="1" x14ac:dyDescent="0.15">
      <c r="A797" s="6"/>
      <c r="D797" t="s">
        <v>90</v>
      </c>
      <c r="E797" t="str">
        <f>E776&amp;".20"</f>
        <v>15.20</v>
      </c>
      <c r="F797" t="s">
        <v>2626</v>
      </c>
      <c r="G797" t="s">
        <v>1979</v>
      </c>
      <c r="I797">
        <v>210</v>
      </c>
    </row>
    <row r="798" spans="1:11" ht="15" customHeight="1" x14ac:dyDescent="0.15">
      <c r="A798" s="6"/>
      <c r="D798" t="s">
        <v>90</v>
      </c>
      <c r="E798" t="str">
        <f>E776&amp;".21"</f>
        <v>15.21</v>
      </c>
      <c r="F798" t="s">
        <v>2627</v>
      </c>
      <c r="G798" t="s">
        <v>1979</v>
      </c>
      <c r="I798">
        <v>220</v>
      </c>
    </row>
    <row r="799" spans="1:11" ht="15" customHeight="1" x14ac:dyDescent="0.15">
      <c r="A799" s="6"/>
      <c r="D799" t="s">
        <v>90</v>
      </c>
      <c r="E799" t="str">
        <f>E776&amp;".22"</f>
        <v>15.22</v>
      </c>
      <c r="F799" t="s">
        <v>2628</v>
      </c>
      <c r="G799" t="s">
        <v>1979</v>
      </c>
      <c r="I799">
        <v>234</v>
      </c>
    </row>
    <row r="800" spans="1:11" ht="15" customHeight="1" x14ac:dyDescent="0.15">
      <c r="A800" s="6"/>
      <c r="D800" t="s">
        <v>90</v>
      </c>
      <c r="E800" t="str">
        <f>E776&amp;".23"</f>
        <v>15.23</v>
      </c>
      <c r="F800" t="s">
        <v>2629</v>
      </c>
      <c r="G800" t="s">
        <v>1979</v>
      </c>
      <c r="I800">
        <v>233</v>
      </c>
    </row>
    <row r="801" spans="1:9" ht="15" customHeight="1" x14ac:dyDescent="0.15">
      <c r="A801" s="6"/>
      <c r="D801" t="s">
        <v>90</v>
      </c>
      <c r="E801" t="str">
        <f>E776&amp;".24"</f>
        <v>15.24</v>
      </c>
      <c r="F801" t="s">
        <v>2630</v>
      </c>
      <c r="G801" t="s">
        <v>1979</v>
      </c>
      <c r="I801">
        <v>230</v>
      </c>
    </row>
    <row r="802" spans="1:9" ht="15" customHeight="1" x14ac:dyDescent="0.15">
      <c r="A802" s="6"/>
      <c r="D802" t="s">
        <v>90</v>
      </c>
      <c r="E802" t="str">
        <f>E776&amp;".25"</f>
        <v>15.25</v>
      </c>
      <c r="F802" t="s">
        <v>2631</v>
      </c>
      <c r="G802" t="s">
        <v>1979</v>
      </c>
      <c r="I802">
        <v>251</v>
      </c>
    </row>
    <row r="803" spans="1:9" ht="15" customHeight="1" x14ac:dyDescent="0.15">
      <c r="A803" s="6"/>
      <c r="D803" t="s">
        <v>90</v>
      </c>
      <c r="E803" t="str">
        <f>E776&amp;".26"</f>
        <v>15.26</v>
      </c>
      <c r="F803" t="s">
        <v>2632</v>
      </c>
      <c r="G803" t="s">
        <v>1979</v>
      </c>
      <c r="I803">
        <v>234</v>
      </c>
    </row>
    <row r="804" spans="1:9" ht="15" customHeight="1" x14ac:dyDescent="0.15">
      <c r="A804" s="6"/>
      <c r="D804" t="s">
        <v>90</v>
      </c>
      <c r="E804" t="str">
        <f>E776&amp;".27"</f>
        <v>15.27</v>
      </c>
      <c r="F804" t="s">
        <v>2633</v>
      </c>
      <c r="G804" t="s">
        <v>1979</v>
      </c>
      <c r="I804">
        <v>230</v>
      </c>
    </row>
    <row r="805" spans="1:9" ht="15" customHeight="1" x14ac:dyDescent="0.15">
      <c r="A805" s="6"/>
      <c r="D805" t="s">
        <v>90</v>
      </c>
      <c r="E805" t="str">
        <f>E776&amp;".28"</f>
        <v>15.28</v>
      </c>
      <c r="F805" t="s">
        <v>2634</v>
      </c>
      <c r="G805" t="s">
        <v>1979</v>
      </c>
      <c r="I805">
        <v>233</v>
      </c>
    </row>
    <row r="806" spans="1:9" ht="15" customHeight="1" x14ac:dyDescent="0.15">
      <c r="A806" s="6"/>
      <c r="D806" t="s">
        <v>90</v>
      </c>
      <c r="E806" t="str">
        <f>E776&amp;".29"</f>
        <v>15.29</v>
      </c>
      <c r="F806" t="s">
        <v>2635</v>
      </c>
      <c r="G806" t="s">
        <v>1979</v>
      </c>
      <c r="I806">
        <v>210</v>
      </c>
    </row>
    <row r="807" spans="1:9" ht="15" customHeight="1" x14ac:dyDescent="0.15">
      <c r="A807" s="6"/>
      <c r="D807" t="s">
        <v>90</v>
      </c>
      <c r="E807" t="str">
        <f>E776&amp;".30"</f>
        <v>15.30</v>
      </c>
      <c r="F807" t="s">
        <v>2636</v>
      </c>
      <c r="G807" t="s">
        <v>1979</v>
      </c>
      <c r="I807">
        <v>210</v>
      </c>
    </row>
    <row r="808" spans="1:9" ht="15" customHeight="1" x14ac:dyDescent="0.15">
      <c r="A808" s="6"/>
      <c r="D808" t="s">
        <v>90</v>
      </c>
      <c r="E808" t="str">
        <f>E776&amp;".31"</f>
        <v>15.31</v>
      </c>
      <c r="F808" t="s">
        <v>2637</v>
      </c>
      <c r="G808" t="s">
        <v>1979</v>
      </c>
      <c r="I808">
        <v>225.2</v>
      </c>
    </row>
    <row r="809" spans="1:9" ht="15" customHeight="1" x14ac:dyDescent="0.15">
      <c r="A809" s="6"/>
      <c r="D809" t="s">
        <v>90</v>
      </c>
      <c r="E809" t="str">
        <f>E776&amp;".32"</f>
        <v>15.32</v>
      </c>
      <c r="F809" t="s">
        <v>2638</v>
      </c>
      <c r="G809" t="s">
        <v>1979</v>
      </c>
      <c r="I809">
        <v>176.00200000000001</v>
      </c>
    </row>
    <row r="810" spans="1:9" ht="15" customHeight="1" x14ac:dyDescent="0.15">
      <c r="A810" s="6"/>
      <c r="D810" t="s">
        <v>90</v>
      </c>
      <c r="E810" t="str">
        <f>E776&amp;".33"</f>
        <v>15.33</v>
      </c>
      <c r="F810" t="s">
        <v>2639</v>
      </c>
      <c r="G810" t="s">
        <v>1979</v>
      </c>
      <c r="I810">
        <v>260</v>
      </c>
    </row>
    <row r="811" spans="1:9" ht="15" customHeight="1" x14ac:dyDescent="0.15">
      <c r="A811" s="6"/>
      <c r="D811" t="s">
        <v>90</v>
      </c>
      <c r="E811" t="str">
        <f>E776&amp;".34"</f>
        <v>15.34</v>
      </c>
      <c r="F811" t="s">
        <v>2640</v>
      </c>
      <c r="G811" t="s">
        <v>1979</v>
      </c>
      <c r="I811">
        <v>253</v>
      </c>
    </row>
    <row r="812" spans="1:9" ht="15" customHeight="1" x14ac:dyDescent="0.15">
      <c r="A812" s="6"/>
      <c r="D812" t="s">
        <v>90</v>
      </c>
      <c r="E812" t="str">
        <f>E776&amp;".35"</f>
        <v>15.35</v>
      </c>
      <c r="F812" t="s">
        <v>2641</v>
      </c>
      <c r="G812" t="s">
        <v>1979</v>
      </c>
      <c r="I812">
        <v>221</v>
      </c>
    </row>
    <row r="813" spans="1:9" ht="15" customHeight="1" x14ac:dyDescent="0.15">
      <c r="A813" s="6"/>
      <c r="D813" t="s">
        <v>90</v>
      </c>
      <c r="E813" t="str">
        <f>E776&amp;".36"</f>
        <v>15.36</v>
      </c>
      <c r="F813" t="s">
        <v>2642</v>
      </c>
      <c r="G813" t="s">
        <v>1979</v>
      </c>
      <c r="I813">
        <v>247.2</v>
      </c>
    </row>
    <row r="814" spans="1:9" ht="15" customHeight="1" x14ac:dyDescent="0.15">
      <c r="A814" s="6"/>
      <c r="D814" t="s">
        <v>90</v>
      </c>
      <c r="E814" t="str">
        <f>E776&amp;".37"</f>
        <v>15.37</v>
      </c>
      <c r="F814" t="s">
        <v>2506</v>
      </c>
      <c r="G814" t="s">
        <v>1979</v>
      </c>
      <c r="I814">
        <v>245.4</v>
      </c>
    </row>
    <row r="815" spans="1:9" ht="15" customHeight="1" x14ac:dyDescent="0.15">
      <c r="A815" s="6"/>
      <c r="D815" t="s">
        <v>90</v>
      </c>
      <c r="E815" t="str">
        <f>E776&amp;".38"</f>
        <v>15.38</v>
      </c>
      <c r="F815" t="s">
        <v>2643</v>
      </c>
      <c r="G815" t="s">
        <v>1979</v>
      </c>
      <c r="I815">
        <v>210</v>
      </c>
    </row>
    <row r="816" spans="1:9" ht="15" customHeight="1" x14ac:dyDescent="0.15">
      <c r="A816" s="6"/>
      <c r="D816" t="s">
        <v>90</v>
      </c>
      <c r="E816" t="str">
        <f>E776&amp;".39"</f>
        <v>15.39</v>
      </c>
      <c r="F816" t="s">
        <v>2644</v>
      </c>
      <c r="G816" t="s">
        <v>1979</v>
      </c>
      <c r="I816">
        <v>210</v>
      </c>
    </row>
    <row r="817" spans="1:9" ht="15" customHeight="1" x14ac:dyDescent="0.15">
      <c r="A817" s="6"/>
      <c r="D817" t="s">
        <v>90</v>
      </c>
      <c r="E817" t="str">
        <f>E776&amp;".40"</f>
        <v>15.40</v>
      </c>
      <c r="F817" t="s">
        <v>2645</v>
      </c>
      <c r="G817" t="s">
        <v>1979</v>
      </c>
      <c r="I817">
        <v>210</v>
      </c>
    </row>
    <row r="818" spans="1:9" ht="15" customHeight="1" x14ac:dyDescent="0.15">
      <c r="A818" s="6"/>
      <c r="D818" t="s">
        <v>90</v>
      </c>
      <c r="E818" t="str">
        <f>E776&amp;".41"</f>
        <v>15.41</v>
      </c>
      <c r="F818" t="s">
        <v>2646</v>
      </c>
      <c r="G818" t="s">
        <v>1979</v>
      </c>
      <c r="I818">
        <v>210</v>
      </c>
    </row>
    <row r="819" spans="1:9" ht="15" customHeight="1" x14ac:dyDescent="0.15">
      <c r="A819" s="6"/>
      <c r="D819" t="s">
        <v>90</v>
      </c>
      <c r="E819" t="str">
        <f>E776&amp;".42"</f>
        <v>15.42</v>
      </c>
      <c r="F819" t="s">
        <v>2647</v>
      </c>
      <c r="G819" t="s">
        <v>1979</v>
      </c>
      <c r="I819">
        <v>210</v>
      </c>
    </row>
    <row r="820" spans="1:9" ht="15" customHeight="1" x14ac:dyDescent="0.15">
      <c r="A820" s="6"/>
      <c r="D820" t="s">
        <v>90</v>
      </c>
      <c r="E820" t="str">
        <f>E776&amp;".43"</f>
        <v>15.43</v>
      </c>
      <c r="F820" t="s">
        <v>2648</v>
      </c>
      <c r="G820" t="s">
        <v>1979</v>
      </c>
      <c r="I820">
        <v>210</v>
      </c>
    </row>
    <row r="821" spans="1:9" ht="15" customHeight="1" x14ac:dyDescent="0.15">
      <c r="A821" s="6"/>
      <c r="D821" t="s">
        <v>90</v>
      </c>
      <c r="E821" t="str">
        <f>E776&amp;".44"</f>
        <v>15.44</v>
      </c>
      <c r="F821" t="s">
        <v>2649</v>
      </c>
      <c r="G821" t="s">
        <v>1979</v>
      </c>
      <c r="I821">
        <v>210</v>
      </c>
    </row>
    <row r="822" spans="1:9" ht="15" customHeight="1" x14ac:dyDescent="0.15">
      <c r="A822" s="6"/>
      <c r="D822" t="s">
        <v>90</v>
      </c>
      <c r="E822" t="str">
        <f>E776&amp;".45"</f>
        <v>15.45</v>
      </c>
      <c r="F822" t="s">
        <v>2650</v>
      </c>
      <c r="G822" t="s">
        <v>1979</v>
      </c>
      <c r="I822">
        <v>210</v>
      </c>
    </row>
    <row r="823" spans="1:9" ht="15" customHeight="1" x14ac:dyDescent="0.15">
      <c r="A823" s="6"/>
      <c r="D823" t="s">
        <v>90</v>
      </c>
      <c r="E823" t="str">
        <f>E776&amp;".46"</f>
        <v>15.46</v>
      </c>
      <c r="F823" t="s">
        <v>2651</v>
      </c>
      <c r="G823" t="s">
        <v>1979</v>
      </c>
      <c r="I823">
        <v>172</v>
      </c>
    </row>
    <row r="824" spans="1:9" ht="15" customHeight="1" x14ac:dyDescent="0.15">
      <c r="A824" s="6"/>
      <c r="D824" t="s">
        <v>90</v>
      </c>
      <c r="E824" t="str">
        <f>E776&amp;".47"</f>
        <v>15.47</v>
      </c>
      <c r="F824" t="s">
        <v>2652</v>
      </c>
      <c r="G824" t="s">
        <v>1979</v>
      </c>
      <c r="I824">
        <v>171</v>
      </c>
    </row>
    <row r="825" spans="1:9" ht="15" customHeight="1" x14ac:dyDescent="0.15">
      <c r="A825" s="6"/>
      <c r="D825" t="s">
        <v>90</v>
      </c>
      <c r="E825" t="str">
        <f>E776&amp;".48"</f>
        <v>15.48</v>
      </c>
      <c r="F825" t="s">
        <v>2653</v>
      </c>
      <c r="G825" t="s">
        <v>1979</v>
      </c>
      <c r="I825">
        <v>173</v>
      </c>
    </row>
    <row r="826" spans="1:9" ht="15" customHeight="1" x14ac:dyDescent="0.15">
      <c r="A826" s="6"/>
      <c r="D826" t="s">
        <v>90</v>
      </c>
      <c r="E826" t="str">
        <f>E776&amp;".49"</f>
        <v>15.49</v>
      </c>
      <c r="F826" t="s">
        <v>2654</v>
      </c>
      <c r="G826" t="s">
        <v>1979</v>
      </c>
      <c r="I826">
        <v>204</v>
      </c>
    </row>
    <row r="827" spans="1:9" ht="15" customHeight="1" x14ac:dyDescent="0.15">
      <c r="A827" s="6"/>
      <c r="D827" t="s">
        <v>90</v>
      </c>
      <c r="E827" t="str">
        <f>E776&amp;".50"</f>
        <v>15.50</v>
      </c>
      <c r="F827" t="s">
        <v>2655</v>
      </c>
      <c r="G827" t="s">
        <v>1979</v>
      </c>
      <c r="I827">
        <v>210.672</v>
      </c>
    </row>
    <row r="828" spans="1:9" ht="15" customHeight="1" x14ac:dyDescent="0.15">
      <c r="A828" s="6"/>
      <c r="D828" t="s">
        <v>90</v>
      </c>
      <c r="E828" t="str">
        <f>E776&amp;".51"</f>
        <v>15.51</v>
      </c>
      <c r="F828" t="s">
        <v>2656</v>
      </c>
      <c r="G828" t="s">
        <v>1979</v>
      </c>
      <c r="I828">
        <v>204</v>
      </c>
    </row>
    <row r="829" spans="1:9" ht="15" customHeight="1" x14ac:dyDescent="0.15">
      <c r="A829" s="6"/>
      <c r="D829" t="s">
        <v>90</v>
      </c>
      <c r="E829" t="str">
        <f>E776&amp;".52"</f>
        <v>15.52</v>
      </c>
      <c r="F829" t="s">
        <v>2657</v>
      </c>
      <c r="G829" t="s">
        <v>1979</v>
      </c>
      <c r="I829">
        <v>172.6</v>
      </c>
    </row>
    <row r="830" spans="1:9" ht="15" customHeight="1" x14ac:dyDescent="0.15">
      <c r="A830" s="6"/>
      <c r="D830" t="s">
        <v>90</v>
      </c>
      <c r="E830" t="str">
        <f>E776&amp;".53"</f>
        <v>15.53</v>
      </c>
      <c r="F830" t="s">
        <v>2658</v>
      </c>
      <c r="G830" t="s">
        <v>1979</v>
      </c>
      <c r="I830">
        <v>204</v>
      </c>
    </row>
    <row r="831" spans="1:9" ht="15" customHeight="1" x14ac:dyDescent="0.15">
      <c r="A831" s="6"/>
      <c r="D831" t="s">
        <v>90</v>
      </c>
      <c r="E831" t="str">
        <f>E776&amp;".54"</f>
        <v>15.54</v>
      </c>
      <c r="F831" t="s">
        <v>2659</v>
      </c>
      <c r="G831" t="s">
        <v>1979</v>
      </c>
      <c r="I831">
        <v>220</v>
      </c>
    </row>
    <row r="832" spans="1:9" ht="15" customHeight="1" x14ac:dyDescent="0.15">
      <c r="A832" s="6"/>
      <c r="D832" t="s">
        <v>90</v>
      </c>
      <c r="E832" t="str">
        <f>E776&amp;".55"</f>
        <v>15.55</v>
      </c>
      <c r="F832" t="s">
        <v>2660</v>
      </c>
      <c r="G832" t="s">
        <v>1979</v>
      </c>
      <c r="I832">
        <v>185</v>
      </c>
    </row>
    <row r="833" spans="1:9" ht="15" customHeight="1" x14ac:dyDescent="0.15">
      <c r="A833" s="6"/>
      <c r="D833" t="s">
        <v>90</v>
      </c>
      <c r="E833" t="str">
        <f>E776&amp;".56"</f>
        <v>15.56</v>
      </c>
      <c r="F833" t="s">
        <v>2661</v>
      </c>
      <c r="G833" t="s">
        <v>1979</v>
      </c>
      <c r="I833">
        <v>187.4</v>
      </c>
    </row>
    <row r="834" spans="1:9" ht="15" customHeight="1" x14ac:dyDescent="0.15">
      <c r="A834" s="6"/>
      <c r="D834" t="s">
        <v>90</v>
      </c>
      <c r="E834" t="str">
        <f>E776&amp;".57"</f>
        <v>15.57</v>
      </c>
      <c r="F834" t="s">
        <v>2662</v>
      </c>
      <c r="G834" t="s">
        <v>1979</v>
      </c>
      <c r="I834">
        <v>210</v>
      </c>
    </row>
    <row r="835" spans="1:9" ht="15" customHeight="1" x14ac:dyDescent="0.15">
      <c r="A835" s="6"/>
      <c r="D835" t="s">
        <v>90</v>
      </c>
      <c r="E835" t="str">
        <f>E776&amp;".58"</f>
        <v>15.58</v>
      </c>
      <c r="F835" t="s">
        <v>2663</v>
      </c>
      <c r="G835" t="s">
        <v>1979</v>
      </c>
      <c r="I835">
        <v>210</v>
      </c>
    </row>
    <row r="836" spans="1:9" ht="15" customHeight="1" x14ac:dyDescent="0.15">
      <c r="A836" s="6"/>
      <c r="D836" t="s">
        <v>90</v>
      </c>
      <c r="E836" t="str">
        <f>E776&amp;".59"</f>
        <v>15.59</v>
      </c>
      <c r="F836" t="s">
        <v>2664</v>
      </c>
      <c r="G836" t="s">
        <v>1979</v>
      </c>
      <c r="I836">
        <v>210</v>
      </c>
    </row>
    <row r="837" spans="1:9" ht="15" customHeight="1" x14ac:dyDescent="0.15">
      <c r="A837" s="6"/>
      <c r="D837" t="s">
        <v>90</v>
      </c>
      <c r="E837" t="str">
        <f>E776&amp;".60"</f>
        <v>15.60</v>
      </c>
      <c r="F837" t="s">
        <v>2665</v>
      </c>
      <c r="G837" t="s">
        <v>1979</v>
      </c>
      <c r="I837">
        <v>210</v>
      </c>
    </row>
    <row r="838" spans="1:9" ht="15" customHeight="1" x14ac:dyDescent="0.15">
      <c r="A838" s="6"/>
      <c r="D838" t="s">
        <v>90</v>
      </c>
      <c r="E838" t="str">
        <f>E776&amp;".61"</f>
        <v>15.61</v>
      </c>
      <c r="F838" t="s">
        <v>2666</v>
      </c>
      <c r="G838" t="s">
        <v>1979</v>
      </c>
      <c r="I838">
        <v>210</v>
      </c>
    </row>
    <row r="839" spans="1:9" ht="15" customHeight="1" x14ac:dyDescent="0.15">
      <c r="A839" s="6"/>
      <c r="D839" t="s">
        <v>90</v>
      </c>
      <c r="E839" t="str">
        <f>E776&amp;".62"</f>
        <v>15.62</v>
      </c>
      <c r="F839" t="s">
        <v>2667</v>
      </c>
      <c r="G839" t="s">
        <v>1979</v>
      </c>
      <c r="I839">
        <v>210</v>
      </c>
    </row>
    <row r="840" spans="1:9" ht="15" customHeight="1" x14ac:dyDescent="0.15">
      <c r="A840" s="6"/>
      <c r="D840" t="s">
        <v>90</v>
      </c>
      <c r="E840" t="str">
        <f>E776&amp;".63"</f>
        <v>15.63</v>
      </c>
      <c r="F840" t="s">
        <v>2668</v>
      </c>
      <c r="G840" t="s">
        <v>1979</v>
      </c>
      <c r="I840">
        <v>210</v>
      </c>
    </row>
    <row r="841" spans="1:9" ht="15" customHeight="1" x14ac:dyDescent="0.15">
      <c r="A841" s="6"/>
      <c r="D841" t="s">
        <v>90</v>
      </c>
      <c r="E841" t="str">
        <f>E776&amp;".64"</f>
        <v>15.64</v>
      </c>
      <c r="F841" t="s">
        <v>2669</v>
      </c>
      <c r="G841" t="s">
        <v>1979</v>
      </c>
      <c r="I841">
        <v>210</v>
      </c>
    </row>
    <row r="842" spans="1:9" ht="15" customHeight="1" x14ac:dyDescent="0.15">
      <c r="A842" s="6"/>
      <c r="D842" t="s">
        <v>90</v>
      </c>
      <c r="E842" t="str">
        <f>E776&amp;".65"</f>
        <v>15.65</v>
      </c>
      <c r="F842" t="s">
        <v>2670</v>
      </c>
      <c r="G842" t="s">
        <v>1979</v>
      </c>
      <c r="I842">
        <v>210</v>
      </c>
    </row>
    <row r="843" spans="1:9" ht="15" customHeight="1" x14ac:dyDescent="0.15">
      <c r="A843" s="6"/>
      <c r="D843" t="s">
        <v>90</v>
      </c>
      <c r="E843" t="str">
        <f>E776&amp;".66"</f>
        <v>15.66</v>
      </c>
      <c r="F843" t="s">
        <v>2671</v>
      </c>
      <c r="G843" t="s">
        <v>1979</v>
      </c>
      <c r="I843">
        <v>210</v>
      </c>
    </row>
    <row r="844" spans="1:9" ht="15" customHeight="1" x14ac:dyDescent="0.15">
      <c r="A844" s="6"/>
      <c r="D844" t="s">
        <v>90</v>
      </c>
      <c r="E844" t="str">
        <f>E776&amp;".67"</f>
        <v>15.67</v>
      </c>
      <c r="F844" t="s">
        <v>2672</v>
      </c>
      <c r="G844" t="s">
        <v>1979</v>
      </c>
      <c r="I844">
        <v>210</v>
      </c>
    </row>
    <row r="845" spans="1:9" ht="15" customHeight="1" x14ac:dyDescent="0.15">
      <c r="A845" s="6"/>
      <c r="D845" t="s">
        <v>90</v>
      </c>
      <c r="E845" t="str">
        <f>E776&amp;".68"</f>
        <v>15.68</v>
      </c>
      <c r="F845" t="s">
        <v>2673</v>
      </c>
      <c r="G845" t="s">
        <v>1979</v>
      </c>
      <c r="I845">
        <v>210</v>
      </c>
    </row>
    <row r="846" spans="1:9" ht="15" customHeight="1" x14ac:dyDescent="0.15">
      <c r="A846" s="6"/>
      <c r="D846" t="s">
        <v>90</v>
      </c>
      <c r="E846" t="str">
        <f>E776&amp;".69"</f>
        <v>15.69</v>
      </c>
      <c r="F846" t="s">
        <v>2674</v>
      </c>
      <c r="G846" t="s">
        <v>1979</v>
      </c>
      <c r="I846">
        <v>210</v>
      </c>
    </row>
    <row r="847" spans="1:9" ht="15" customHeight="1" x14ac:dyDescent="0.15">
      <c r="A847" s="6"/>
      <c r="D847" t="s">
        <v>90</v>
      </c>
      <c r="E847" t="str">
        <f>E776&amp;".70"</f>
        <v>15.70</v>
      </c>
      <c r="F847" t="s">
        <v>2675</v>
      </c>
      <c r="G847" t="s">
        <v>1979</v>
      </c>
      <c r="I847">
        <v>210</v>
      </c>
    </row>
    <row r="848" spans="1:9" ht="15" customHeight="1" x14ac:dyDescent="0.15">
      <c r="A848" s="6"/>
      <c r="D848" t="s">
        <v>90</v>
      </c>
      <c r="E848" t="str">
        <f>E776&amp;".71"</f>
        <v>15.71</v>
      </c>
      <c r="F848" t="s">
        <v>2676</v>
      </c>
      <c r="G848" t="s">
        <v>1979</v>
      </c>
      <c r="I848">
        <v>210</v>
      </c>
    </row>
    <row r="849" spans="1:9" ht="15" customHeight="1" x14ac:dyDescent="0.15">
      <c r="A849" s="6"/>
      <c r="D849" t="s">
        <v>90</v>
      </c>
      <c r="E849" t="str">
        <f>E776&amp;".72"</f>
        <v>15.72</v>
      </c>
      <c r="F849" t="s">
        <v>2677</v>
      </c>
      <c r="G849" t="s">
        <v>1979</v>
      </c>
      <c r="I849">
        <v>210</v>
      </c>
    </row>
    <row r="850" spans="1:9" ht="15" customHeight="1" x14ac:dyDescent="0.15">
      <c r="A850" s="6"/>
      <c r="D850" t="s">
        <v>90</v>
      </c>
      <c r="E850" t="str">
        <f>E776&amp;".73"</f>
        <v>15.73</v>
      </c>
      <c r="F850" t="s">
        <v>2678</v>
      </c>
      <c r="G850" t="s">
        <v>1979</v>
      </c>
      <c r="I850">
        <v>210</v>
      </c>
    </row>
    <row r="851" spans="1:9" ht="15" customHeight="1" x14ac:dyDescent="0.15">
      <c r="A851" s="6"/>
      <c r="D851" t="s">
        <v>90</v>
      </c>
      <c r="E851" t="str">
        <f>E776&amp;".74"</f>
        <v>15.74</v>
      </c>
      <c r="F851" t="s">
        <v>2679</v>
      </c>
      <c r="G851" t="s">
        <v>1979</v>
      </c>
      <c r="I851">
        <v>219.8</v>
      </c>
    </row>
    <row r="852" spans="1:9" ht="15" customHeight="1" x14ac:dyDescent="0.15">
      <c r="A852" s="6"/>
      <c r="D852" t="s">
        <v>90</v>
      </c>
      <c r="E852" t="str">
        <f>E776&amp;".75"</f>
        <v>15.75</v>
      </c>
      <c r="F852" t="s">
        <v>2680</v>
      </c>
      <c r="G852" t="s">
        <v>1979</v>
      </c>
      <c r="I852">
        <v>168</v>
      </c>
    </row>
    <row r="853" spans="1:9" ht="15" customHeight="1" x14ac:dyDescent="0.15">
      <c r="A853" s="6"/>
      <c r="D853" t="s">
        <v>90</v>
      </c>
      <c r="E853" t="str">
        <f>E776&amp;".76"</f>
        <v>15.76</v>
      </c>
      <c r="F853" t="s">
        <v>2681</v>
      </c>
      <c r="G853" t="s">
        <v>1979</v>
      </c>
      <c r="I853">
        <v>170</v>
      </c>
    </row>
    <row r="854" spans="1:9" ht="15" customHeight="1" x14ac:dyDescent="0.15">
      <c r="A854" s="6"/>
      <c r="D854" t="s">
        <v>90</v>
      </c>
      <c r="E854" t="str">
        <f>E776&amp;".77"</f>
        <v>15.77</v>
      </c>
      <c r="F854" t="s">
        <v>2682</v>
      </c>
      <c r="G854" t="s">
        <v>1979</v>
      </c>
      <c r="I854">
        <v>258</v>
      </c>
    </row>
    <row r="855" spans="1:9" ht="15" customHeight="1" x14ac:dyDescent="0.15">
      <c r="A855" s="6"/>
      <c r="D855" t="s">
        <v>90</v>
      </c>
      <c r="E855" t="str">
        <f>E776&amp;".78"</f>
        <v>15.78</v>
      </c>
      <c r="F855" t="s">
        <v>2683</v>
      </c>
      <c r="G855" t="s">
        <v>1979</v>
      </c>
      <c r="I855">
        <v>230</v>
      </c>
    </row>
    <row r="856" spans="1:9" ht="15" customHeight="1" x14ac:dyDescent="0.15">
      <c r="A856" s="6"/>
      <c r="D856" t="s">
        <v>90</v>
      </c>
      <c r="E856" t="str">
        <f>E776&amp;".79"</f>
        <v>15.79</v>
      </c>
      <c r="F856" t="s">
        <v>2684</v>
      </c>
      <c r="G856" t="s">
        <v>1979</v>
      </c>
      <c r="I856">
        <v>204</v>
      </c>
    </row>
    <row r="857" spans="1:9" ht="15" customHeight="1" x14ac:dyDescent="0.15">
      <c r="A857" s="6"/>
      <c r="D857" t="s">
        <v>90</v>
      </c>
      <c r="E857" t="str">
        <f>E776&amp;".80"</f>
        <v>15.80</v>
      </c>
      <c r="F857" t="s">
        <v>2685</v>
      </c>
      <c r="G857" t="s">
        <v>1979</v>
      </c>
      <c r="I857">
        <v>204</v>
      </c>
    </row>
    <row r="858" spans="1:9" ht="15" customHeight="1" x14ac:dyDescent="0.15">
      <c r="A858" s="6"/>
      <c r="D858" t="s">
        <v>90</v>
      </c>
      <c r="E858" t="str">
        <f>E776&amp;".81"</f>
        <v>15.81</v>
      </c>
      <c r="F858" t="s">
        <v>2686</v>
      </c>
      <c r="G858" t="s">
        <v>1979</v>
      </c>
      <c r="I858">
        <v>255</v>
      </c>
    </row>
    <row r="859" spans="1:9" ht="15" customHeight="1" x14ac:dyDescent="0.15">
      <c r="A859" s="6"/>
      <c r="D859" t="s">
        <v>90</v>
      </c>
      <c r="E859" t="str">
        <f>E776&amp;".82"</f>
        <v>15.82</v>
      </c>
      <c r="F859" t="s">
        <v>2687</v>
      </c>
      <c r="G859" t="s">
        <v>1979</v>
      </c>
      <c r="I859">
        <v>175</v>
      </c>
    </row>
    <row r="860" spans="1:9" ht="15" customHeight="1" x14ac:dyDescent="0.15">
      <c r="A860" s="6"/>
      <c r="D860" t="s">
        <v>90</v>
      </c>
      <c r="E860" t="str">
        <f>E776&amp;".83"</f>
        <v>15.83</v>
      </c>
      <c r="F860" t="s">
        <v>2688</v>
      </c>
      <c r="G860" t="s">
        <v>1979</v>
      </c>
      <c r="I860">
        <v>179</v>
      </c>
    </row>
    <row r="861" spans="1:9" ht="15" customHeight="1" x14ac:dyDescent="0.15">
      <c r="A861" s="6"/>
      <c r="D861" t="s">
        <v>90</v>
      </c>
      <c r="E861" t="str">
        <f>E776&amp;".84"</f>
        <v>15.84</v>
      </c>
      <c r="F861" t="s">
        <v>2689</v>
      </c>
      <c r="G861" t="s">
        <v>1979</v>
      </c>
      <c r="I861">
        <v>238</v>
      </c>
    </row>
    <row r="862" spans="1:9" ht="15" customHeight="1" x14ac:dyDescent="0.15">
      <c r="A862" s="6"/>
      <c r="D862" t="s">
        <v>90</v>
      </c>
      <c r="E862" t="str">
        <f>E776&amp;".85"</f>
        <v>15.85</v>
      </c>
      <c r="F862" t="s">
        <v>2690</v>
      </c>
      <c r="G862" t="s">
        <v>1979</v>
      </c>
      <c r="I862">
        <v>216.1</v>
      </c>
    </row>
    <row r="863" spans="1:9" ht="15" customHeight="1" x14ac:dyDescent="0.15">
      <c r="A863" s="6"/>
      <c r="D863" t="s">
        <v>90</v>
      </c>
      <c r="E863" t="str">
        <f>E776&amp;".86"</f>
        <v>15.86</v>
      </c>
      <c r="F863" t="s">
        <v>2691</v>
      </c>
      <c r="G863" t="s">
        <v>1979</v>
      </c>
      <c r="I863">
        <v>219</v>
      </c>
    </row>
    <row r="864" spans="1:9" ht="15" customHeight="1" x14ac:dyDescent="0.15">
      <c r="A864" s="6"/>
      <c r="D864" t="s">
        <v>90</v>
      </c>
      <c r="E864" t="str">
        <f>E776&amp;".87"</f>
        <v>15.87</v>
      </c>
      <c r="F864" t="s">
        <v>2692</v>
      </c>
      <c r="G864" t="s">
        <v>1979</v>
      </c>
      <c r="I864">
        <v>210</v>
      </c>
    </row>
    <row r="865" spans="1:9" ht="15" customHeight="1" x14ac:dyDescent="0.15">
      <c r="A865" s="6"/>
      <c r="D865" t="s">
        <v>90</v>
      </c>
      <c r="E865" t="str">
        <f>E776&amp;".88"</f>
        <v>15.88</v>
      </c>
      <c r="F865" t="s">
        <v>2693</v>
      </c>
      <c r="G865" t="s">
        <v>1979</v>
      </c>
      <c r="I865">
        <v>210</v>
      </c>
    </row>
    <row r="866" spans="1:9" ht="15" customHeight="1" x14ac:dyDescent="0.15">
      <c r="A866" s="6"/>
      <c r="D866" t="s">
        <v>90</v>
      </c>
      <c r="E866" t="str">
        <f>E776&amp;".89"</f>
        <v>15.89</v>
      </c>
      <c r="F866" t="s">
        <v>2694</v>
      </c>
      <c r="G866" t="s">
        <v>1979</v>
      </c>
      <c r="I866">
        <v>210</v>
      </c>
    </row>
    <row r="867" spans="1:9" ht="15" customHeight="1" x14ac:dyDescent="0.15">
      <c r="A867" s="6"/>
      <c r="D867" t="s">
        <v>90</v>
      </c>
      <c r="E867" t="str">
        <f>E776&amp;".90"</f>
        <v>15.90</v>
      </c>
      <c r="F867" t="s">
        <v>2695</v>
      </c>
      <c r="G867" t="s">
        <v>1979</v>
      </c>
      <c r="I867">
        <v>210</v>
      </c>
    </row>
    <row r="868" spans="1:9" ht="15" customHeight="1" x14ac:dyDescent="0.15">
      <c r="A868" s="6"/>
      <c r="D868" t="s">
        <v>90</v>
      </c>
      <c r="E868" t="str">
        <f>E776&amp;".91"</f>
        <v>15.91</v>
      </c>
      <c r="F868" t="s">
        <v>2696</v>
      </c>
      <c r="G868" t="s">
        <v>1979</v>
      </c>
      <c r="I868">
        <v>220</v>
      </c>
    </row>
    <row r="869" spans="1:9" ht="15" customHeight="1" x14ac:dyDescent="0.15">
      <c r="A869" s="6"/>
      <c r="D869" t="s">
        <v>90</v>
      </c>
      <c r="E869" t="str">
        <f>E776&amp;".92"</f>
        <v>15.92</v>
      </c>
      <c r="F869" t="s">
        <v>2697</v>
      </c>
      <c r="G869" t="s">
        <v>1979</v>
      </c>
      <c r="I869">
        <v>178</v>
      </c>
    </row>
    <row r="870" spans="1:9" ht="15" customHeight="1" x14ac:dyDescent="0.15">
      <c r="A870" s="6"/>
      <c r="D870" t="s">
        <v>90</v>
      </c>
      <c r="E870" t="str">
        <f>E776&amp;".93"</f>
        <v>15.93</v>
      </c>
      <c r="F870" t="s">
        <v>2698</v>
      </c>
      <c r="G870" t="s">
        <v>1979</v>
      </c>
      <c r="I870">
        <v>219.8</v>
      </c>
    </row>
    <row r="871" spans="1:9" ht="15" customHeight="1" x14ac:dyDescent="0.15">
      <c r="A871" s="6"/>
      <c r="D871" t="s">
        <v>90</v>
      </c>
      <c r="E871" t="str">
        <f>E776&amp;".94"</f>
        <v>15.94</v>
      </c>
      <c r="F871" t="s">
        <v>2699</v>
      </c>
      <c r="G871" t="s">
        <v>1979</v>
      </c>
      <c r="I871">
        <v>240</v>
      </c>
    </row>
    <row r="872" spans="1:9" ht="15" customHeight="1" x14ac:dyDescent="0.15">
      <c r="A872" s="6"/>
      <c r="D872" t="s">
        <v>90</v>
      </c>
      <c r="E872" t="str">
        <f>E776&amp;".95"</f>
        <v>15.95</v>
      </c>
      <c r="F872" t="s">
        <v>2700</v>
      </c>
      <c r="G872" t="s">
        <v>1979</v>
      </c>
      <c r="I872">
        <v>258</v>
      </c>
    </row>
    <row r="873" spans="1:9" ht="15" customHeight="1" x14ac:dyDescent="0.15">
      <c r="A873" s="6"/>
      <c r="D873" t="s">
        <v>90</v>
      </c>
      <c r="E873" t="str">
        <f>E776&amp;".96"</f>
        <v>15.96</v>
      </c>
      <c r="F873" t="s">
        <v>2701</v>
      </c>
      <c r="G873" t="s">
        <v>1979</v>
      </c>
      <c r="I873">
        <v>220</v>
      </c>
    </row>
    <row r="874" spans="1:9" ht="15" customHeight="1" x14ac:dyDescent="0.15">
      <c r="A874" s="6"/>
      <c r="D874" t="s">
        <v>90</v>
      </c>
      <c r="E874" t="str">
        <f>E776&amp;".97"</f>
        <v>15.97</v>
      </c>
      <c r="F874" t="s">
        <v>2702</v>
      </c>
      <c r="G874" t="s">
        <v>1979</v>
      </c>
      <c r="I874">
        <v>227.39599999999999</v>
      </c>
    </row>
    <row r="875" spans="1:9" ht="15" customHeight="1" x14ac:dyDescent="0.15">
      <c r="A875" s="6"/>
      <c r="D875" t="s">
        <v>90</v>
      </c>
      <c r="E875" t="str">
        <f>E776&amp;".98"</f>
        <v>15.98</v>
      </c>
      <c r="F875" t="s">
        <v>2703</v>
      </c>
      <c r="G875" t="s">
        <v>1979</v>
      </c>
      <c r="I875">
        <v>204</v>
      </c>
    </row>
    <row r="876" spans="1:9" ht="15" customHeight="1" x14ac:dyDescent="0.15">
      <c r="A876" s="6"/>
      <c r="D876" t="s">
        <v>90</v>
      </c>
      <c r="E876" t="str">
        <f>E776&amp;".99"</f>
        <v>15.99</v>
      </c>
      <c r="F876" t="s">
        <v>2704</v>
      </c>
      <c r="G876" t="s">
        <v>1979</v>
      </c>
      <c r="I876">
        <v>210.1</v>
      </c>
    </row>
    <row r="877" spans="1:9" ht="15" customHeight="1" x14ac:dyDescent="0.15">
      <c r="A877" s="6"/>
      <c r="D877" t="s">
        <v>90</v>
      </c>
      <c r="E877" t="str">
        <f>E776&amp;".100"</f>
        <v>15.100</v>
      </c>
      <c r="F877" t="s">
        <v>2705</v>
      </c>
      <c r="G877" t="s">
        <v>1979</v>
      </c>
      <c r="I877">
        <v>216</v>
      </c>
    </row>
    <row r="878" spans="1:9" ht="15" customHeight="1" x14ac:dyDescent="0.15">
      <c r="A878" s="6"/>
      <c r="D878" t="s">
        <v>90</v>
      </c>
      <c r="E878" t="str">
        <f>E776&amp;".101"</f>
        <v>15.101</v>
      </c>
      <c r="F878" t="s">
        <v>2706</v>
      </c>
      <c r="G878" t="s">
        <v>1979</v>
      </c>
      <c r="I878">
        <v>209</v>
      </c>
    </row>
    <row r="879" spans="1:9" ht="15" customHeight="1" x14ac:dyDescent="0.15">
      <c r="A879" s="6"/>
      <c r="D879" t="s">
        <v>90</v>
      </c>
      <c r="E879" t="str">
        <f>E776&amp;".102"</f>
        <v>15.102</v>
      </c>
      <c r="F879" t="s">
        <v>2707</v>
      </c>
      <c r="G879" t="s">
        <v>1979</v>
      </c>
      <c r="I879">
        <v>204</v>
      </c>
    </row>
    <row r="880" spans="1:9" ht="15" customHeight="1" x14ac:dyDescent="0.15">
      <c r="A880" s="6"/>
      <c r="D880" t="s">
        <v>90</v>
      </c>
      <c r="E880" t="str">
        <f>E776&amp;".103"</f>
        <v>15.103</v>
      </c>
      <c r="F880" t="s">
        <v>2708</v>
      </c>
      <c r="G880" t="s">
        <v>1979</v>
      </c>
      <c r="I880">
        <v>220</v>
      </c>
    </row>
    <row r="881" spans="1:9" ht="15" customHeight="1" x14ac:dyDescent="0.15">
      <c r="A881" s="6"/>
      <c r="D881" t="s">
        <v>90</v>
      </c>
      <c r="E881" t="str">
        <f>E776&amp;".104"</f>
        <v>15.104</v>
      </c>
      <c r="F881" t="s">
        <v>2709</v>
      </c>
      <c r="G881" t="s">
        <v>1979</v>
      </c>
      <c r="I881">
        <v>265</v>
      </c>
    </row>
    <row r="882" spans="1:9" ht="15" customHeight="1" x14ac:dyDescent="0.15">
      <c r="A882" s="6"/>
      <c r="D882" t="s">
        <v>90</v>
      </c>
      <c r="E882" t="str">
        <f>E776&amp;".105"</f>
        <v>15.105</v>
      </c>
      <c r="F882" t="s">
        <v>2710</v>
      </c>
      <c r="G882" t="s">
        <v>1979</v>
      </c>
      <c r="I882">
        <v>220</v>
      </c>
    </row>
    <row r="883" spans="1:9" ht="15" customHeight="1" x14ac:dyDescent="0.15">
      <c r="A883" s="6"/>
      <c r="D883" t="s">
        <v>90</v>
      </c>
      <c r="E883" t="str">
        <f>E776&amp;".106"</f>
        <v>15.106</v>
      </c>
      <c r="F883" t="s">
        <v>2711</v>
      </c>
      <c r="G883" t="s">
        <v>1979</v>
      </c>
      <c r="I883">
        <v>240</v>
      </c>
    </row>
    <row r="884" spans="1:9" ht="15" customHeight="1" x14ac:dyDescent="0.15">
      <c r="A884" s="6"/>
      <c r="D884" t="s">
        <v>90</v>
      </c>
      <c r="E884" t="str">
        <f>E776&amp;".107"</f>
        <v>15.107</v>
      </c>
      <c r="F884" t="s">
        <v>2712</v>
      </c>
      <c r="G884" t="s">
        <v>1979</v>
      </c>
      <c r="I884">
        <v>202.28</v>
      </c>
    </row>
    <row r="885" spans="1:9" ht="15" customHeight="1" x14ac:dyDescent="0.15">
      <c r="A885" s="6"/>
      <c r="D885" t="s">
        <v>90</v>
      </c>
      <c r="E885" t="str">
        <f>E776&amp;".108"</f>
        <v>15.108</v>
      </c>
      <c r="F885" t="s">
        <v>2713</v>
      </c>
      <c r="G885" t="s">
        <v>1979</v>
      </c>
      <c r="I885">
        <v>240</v>
      </c>
    </row>
    <row r="886" spans="1:9" ht="15" customHeight="1" x14ac:dyDescent="0.15">
      <c r="A886" s="6"/>
      <c r="D886" t="s">
        <v>90</v>
      </c>
      <c r="E886" t="str">
        <f>E776&amp;".109"</f>
        <v>15.109</v>
      </c>
      <c r="F886" t="s">
        <v>2714</v>
      </c>
      <c r="G886" t="s">
        <v>1979</v>
      </c>
      <c r="I886">
        <v>210.1</v>
      </c>
    </row>
    <row r="887" spans="1:9" ht="15" customHeight="1" x14ac:dyDescent="0.15">
      <c r="A887" s="6"/>
      <c r="D887" t="s">
        <v>90</v>
      </c>
      <c r="E887" t="str">
        <f>E776&amp;".110"</f>
        <v>15.110</v>
      </c>
      <c r="F887" t="s">
        <v>2715</v>
      </c>
      <c r="G887" t="s">
        <v>1979</v>
      </c>
      <c r="I887">
        <v>210</v>
      </c>
    </row>
    <row r="888" spans="1:9" ht="15" customHeight="1" x14ac:dyDescent="0.15">
      <c r="A888" s="6"/>
      <c r="D888" t="s">
        <v>90</v>
      </c>
      <c r="E888" t="str">
        <f>E776&amp;".111"</f>
        <v>15.111</v>
      </c>
      <c r="F888" t="s">
        <v>2716</v>
      </c>
      <c r="G888" t="s">
        <v>1979</v>
      </c>
      <c r="I888">
        <v>210</v>
      </c>
    </row>
    <row r="889" spans="1:9" ht="15" customHeight="1" x14ac:dyDescent="0.15">
      <c r="A889" s="6"/>
      <c r="D889" t="s">
        <v>90</v>
      </c>
      <c r="E889" t="str">
        <f>E776&amp;".112"</f>
        <v>15.112</v>
      </c>
      <c r="F889" t="s">
        <v>2717</v>
      </c>
      <c r="G889" t="s">
        <v>1979</v>
      </c>
      <c r="I889">
        <v>210</v>
      </c>
    </row>
    <row r="890" spans="1:9" ht="15" customHeight="1" x14ac:dyDescent="0.15">
      <c r="A890" s="6"/>
      <c r="D890" t="s">
        <v>90</v>
      </c>
      <c r="E890" t="str">
        <f>E776&amp;".113"</f>
        <v>15.113</v>
      </c>
      <c r="F890" t="s">
        <v>2110</v>
      </c>
      <c r="G890" t="s">
        <v>1979</v>
      </c>
      <c r="I890">
        <v>210</v>
      </c>
    </row>
    <row r="891" spans="1:9" ht="15" customHeight="1" x14ac:dyDescent="0.15">
      <c r="A891" s="6"/>
      <c r="D891" t="s">
        <v>90</v>
      </c>
      <c r="E891" t="str">
        <f>E776&amp;".114"</f>
        <v>15.114</v>
      </c>
      <c r="F891" t="s">
        <v>2718</v>
      </c>
      <c r="G891" t="s">
        <v>1979</v>
      </c>
      <c r="I891">
        <v>186</v>
      </c>
    </row>
    <row r="892" spans="1:9" ht="15" customHeight="1" x14ac:dyDescent="0.15">
      <c r="A892" s="6"/>
      <c r="D892" t="s">
        <v>90</v>
      </c>
      <c r="E892" t="str">
        <f>E776&amp;".115"</f>
        <v>15.115</v>
      </c>
      <c r="F892" t="s">
        <v>2719</v>
      </c>
      <c r="G892" t="s">
        <v>1979</v>
      </c>
      <c r="I892">
        <v>232</v>
      </c>
    </row>
    <row r="893" spans="1:9" ht="15" customHeight="1" x14ac:dyDescent="0.15">
      <c r="A893" s="6"/>
      <c r="D893" t="s">
        <v>90</v>
      </c>
      <c r="E893" t="str">
        <f>E776&amp;".116"</f>
        <v>15.116</v>
      </c>
      <c r="F893" t="s">
        <v>2720</v>
      </c>
      <c r="G893" t="s">
        <v>1979</v>
      </c>
      <c r="I893">
        <v>204</v>
      </c>
    </row>
    <row r="894" spans="1:9" ht="15" customHeight="1" x14ac:dyDescent="0.15">
      <c r="A894" s="6"/>
      <c r="D894" t="s">
        <v>90</v>
      </c>
      <c r="E894" t="str">
        <f>E776&amp;".117"</f>
        <v>15.117</v>
      </c>
      <c r="F894" t="s">
        <v>2721</v>
      </c>
      <c r="G894" t="s">
        <v>1979</v>
      </c>
      <c r="I894">
        <v>204</v>
      </c>
    </row>
    <row r="895" spans="1:9" ht="15" customHeight="1" x14ac:dyDescent="0.15">
      <c r="A895" s="6"/>
      <c r="D895" t="s">
        <v>90</v>
      </c>
      <c r="E895" t="str">
        <f>E776&amp;".118"</f>
        <v>15.118</v>
      </c>
      <c r="F895" t="s">
        <v>2109</v>
      </c>
      <c r="G895" t="s">
        <v>1979</v>
      </c>
      <c r="I895">
        <v>224.5</v>
      </c>
    </row>
    <row r="896" spans="1:9" ht="15" customHeight="1" x14ac:dyDescent="0.15">
      <c r="A896" s="6"/>
      <c r="D896" t="s">
        <v>90</v>
      </c>
      <c r="E896" t="str">
        <f>E776&amp;".119"</f>
        <v>15.119</v>
      </c>
      <c r="F896" t="s">
        <v>2722</v>
      </c>
      <c r="G896" t="s">
        <v>1979</v>
      </c>
      <c r="I896">
        <v>230</v>
      </c>
    </row>
    <row r="897" spans="1:9" ht="15" customHeight="1" x14ac:dyDescent="0.15">
      <c r="A897" s="6"/>
      <c r="D897" t="s">
        <v>90</v>
      </c>
      <c r="E897" t="str">
        <f>E776&amp;".120"</f>
        <v>15.120</v>
      </c>
      <c r="F897" t="s">
        <v>2723</v>
      </c>
      <c r="G897" t="s">
        <v>1979</v>
      </c>
      <c r="I897">
        <v>176.37</v>
      </c>
    </row>
    <row r="898" spans="1:9" ht="15" customHeight="1" x14ac:dyDescent="0.15">
      <c r="A898" s="6"/>
      <c r="D898" t="s">
        <v>90</v>
      </c>
      <c r="E898" t="str">
        <f>E776&amp;".121"</f>
        <v>15.121</v>
      </c>
      <c r="F898" t="s">
        <v>2724</v>
      </c>
      <c r="G898" t="s">
        <v>1979</v>
      </c>
      <c r="I898">
        <v>242.8</v>
      </c>
    </row>
    <row r="899" spans="1:9" ht="15" customHeight="1" x14ac:dyDescent="0.15">
      <c r="A899" s="6"/>
      <c r="D899" t="s">
        <v>90</v>
      </c>
      <c r="E899" t="str">
        <f>E776&amp;".122"</f>
        <v>15.122</v>
      </c>
      <c r="F899" t="s">
        <v>2725</v>
      </c>
      <c r="G899" t="s">
        <v>1979</v>
      </c>
      <c r="I899">
        <v>230</v>
      </c>
    </row>
    <row r="900" spans="1:9" ht="15" customHeight="1" x14ac:dyDescent="0.15">
      <c r="A900" s="6"/>
      <c r="D900" t="s">
        <v>90</v>
      </c>
      <c r="E900" t="str">
        <f>E776&amp;".123"</f>
        <v>15.123</v>
      </c>
      <c r="F900" t="s">
        <v>2726</v>
      </c>
      <c r="G900" t="s">
        <v>1979</v>
      </c>
      <c r="I900">
        <v>269</v>
      </c>
    </row>
    <row r="901" spans="1:9" ht="15" customHeight="1" x14ac:dyDescent="0.15">
      <c r="A901" s="6"/>
      <c r="D901" t="s">
        <v>90</v>
      </c>
      <c r="E901" t="str">
        <f>E776&amp;".124"</f>
        <v>15.124</v>
      </c>
      <c r="F901" t="s">
        <v>2727</v>
      </c>
      <c r="G901" t="s">
        <v>1979</v>
      </c>
      <c r="I901">
        <v>220</v>
      </c>
    </row>
    <row r="902" spans="1:9" ht="15" customHeight="1" x14ac:dyDescent="0.15">
      <c r="A902" s="6"/>
      <c r="D902" t="s">
        <v>90</v>
      </c>
      <c r="E902" t="str">
        <f>E776&amp;".125"</f>
        <v>15.125</v>
      </c>
      <c r="F902" t="s">
        <v>2728</v>
      </c>
      <c r="G902" t="s">
        <v>1979</v>
      </c>
      <c r="I902">
        <v>223</v>
      </c>
    </row>
    <row r="903" spans="1:9" ht="15" customHeight="1" x14ac:dyDescent="0.15">
      <c r="A903" s="6"/>
      <c r="D903" t="s">
        <v>90</v>
      </c>
      <c r="E903" t="str">
        <f>E776&amp;".126"</f>
        <v>15.126</v>
      </c>
      <c r="F903" t="s">
        <v>2729</v>
      </c>
      <c r="G903" t="s">
        <v>1979</v>
      </c>
      <c r="I903">
        <v>221.685</v>
      </c>
    </row>
    <row r="904" spans="1:9" ht="15" customHeight="1" x14ac:dyDescent="0.15">
      <c r="A904" s="6"/>
      <c r="D904" t="s">
        <v>90</v>
      </c>
      <c r="E904" t="str">
        <f>E776&amp;".127"</f>
        <v>15.127</v>
      </c>
      <c r="F904" t="s">
        <v>2118</v>
      </c>
      <c r="G904" t="s">
        <v>1979</v>
      </c>
      <c r="I904">
        <v>204</v>
      </c>
    </row>
    <row r="905" spans="1:9" ht="15" customHeight="1" x14ac:dyDescent="0.15">
      <c r="A905" s="6"/>
      <c r="D905" t="s">
        <v>90</v>
      </c>
      <c r="E905" t="str">
        <f>E776&amp;".128"</f>
        <v>15.128</v>
      </c>
      <c r="F905" t="s">
        <v>2117</v>
      </c>
      <c r="G905" t="s">
        <v>1979</v>
      </c>
      <c r="I905">
        <v>220</v>
      </c>
    </row>
    <row r="906" spans="1:9" ht="15" customHeight="1" x14ac:dyDescent="0.15">
      <c r="A906" s="6"/>
      <c r="D906" t="s">
        <v>90</v>
      </c>
      <c r="E906" t="str">
        <f>E776&amp;".129"</f>
        <v>15.129</v>
      </c>
      <c r="F906" t="s">
        <v>2730</v>
      </c>
      <c r="G906" t="s">
        <v>1979</v>
      </c>
      <c r="I906">
        <v>171.9</v>
      </c>
    </row>
    <row r="907" spans="1:9" ht="15" customHeight="1" x14ac:dyDescent="0.15">
      <c r="A907" s="6"/>
      <c r="D907" t="s">
        <v>90</v>
      </c>
      <c r="E907" t="str">
        <f>E776&amp;".130"</f>
        <v>15.130</v>
      </c>
      <c r="F907" t="s">
        <v>2731</v>
      </c>
      <c r="G907" t="s">
        <v>1979</v>
      </c>
      <c r="I907">
        <v>224</v>
      </c>
    </row>
    <row r="908" spans="1:9" ht="15" customHeight="1" x14ac:dyDescent="0.15">
      <c r="A908" s="6"/>
      <c r="D908" t="s">
        <v>90</v>
      </c>
      <c r="E908" t="str">
        <f>E776&amp;".131"</f>
        <v>15.131</v>
      </c>
      <c r="F908" t="s">
        <v>2732</v>
      </c>
      <c r="G908" t="s">
        <v>1979</v>
      </c>
      <c r="I908">
        <v>204</v>
      </c>
    </row>
    <row r="909" spans="1:9" ht="15" customHeight="1" x14ac:dyDescent="0.15">
      <c r="A909" s="6"/>
      <c r="D909" t="s">
        <v>90</v>
      </c>
      <c r="E909" t="str">
        <f>E776&amp;".132"</f>
        <v>15.132</v>
      </c>
      <c r="F909" t="s">
        <v>2733</v>
      </c>
      <c r="G909" t="s">
        <v>1979</v>
      </c>
      <c r="I909">
        <v>210</v>
      </c>
    </row>
    <row r="910" spans="1:9" ht="15" customHeight="1" x14ac:dyDescent="0.15">
      <c r="A910" s="6"/>
      <c r="D910" t="s">
        <v>90</v>
      </c>
      <c r="E910" t="str">
        <f>E776&amp;".133"</f>
        <v>15.133</v>
      </c>
      <c r="F910" t="s">
        <v>2734</v>
      </c>
      <c r="G910" t="s">
        <v>1979</v>
      </c>
      <c r="I910">
        <v>210</v>
      </c>
    </row>
    <row r="911" spans="1:9" ht="15" customHeight="1" x14ac:dyDescent="0.15">
      <c r="A911" s="6"/>
      <c r="D911" t="s">
        <v>90</v>
      </c>
      <c r="E911" t="str">
        <f>E776&amp;".134"</f>
        <v>15.134</v>
      </c>
      <c r="F911" t="s">
        <v>2735</v>
      </c>
      <c r="G911" t="s">
        <v>1979</v>
      </c>
      <c r="I911">
        <v>210</v>
      </c>
    </row>
    <row r="912" spans="1:9" ht="15" customHeight="1" x14ac:dyDescent="0.15">
      <c r="A912" s="6"/>
      <c r="D912" t="s">
        <v>90</v>
      </c>
      <c r="E912" t="str">
        <f>E776&amp;".135"</f>
        <v>15.135</v>
      </c>
      <c r="F912" t="s">
        <v>2736</v>
      </c>
      <c r="G912" t="s">
        <v>1979</v>
      </c>
      <c r="I912">
        <v>210</v>
      </c>
    </row>
    <row r="913" spans="1:9" ht="15" customHeight="1" x14ac:dyDescent="0.15">
      <c r="A913" s="6"/>
      <c r="D913" t="s">
        <v>90</v>
      </c>
      <c r="E913" t="str">
        <f>E776&amp;".136"</f>
        <v>15.136</v>
      </c>
      <c r="F913" t="s">
        <v>2737</v>
      </c>
      <c r="G913" t="s">
        <v>1979</v>
      </c>
      <c r="I913">
        <v>203.45400000000001</v>
      </c>
    </row>
    <row r="914" spans="1:9" ht="15" customHeight="1" x14ac:dyDescent="0.15">
      <c r="A914" s="6"/>
      <c r="D914" t="s">
        <v>90</v>
      </c>
      <c r="E914" t="str">
        <f>E776&amp;".137"</f>
        <v>15.137</v>
      </c>
      <c r="F914" t="s">
        <v>2738</v>
      </c>
      <c r="G914" t="s">
        <v>1979</v>
      </c>
      <c r="I914">
        <v>205.85400000000001</v>
      </c>
    </row>
    <row r="915" spans="1:9" ht="15" customHeight="1" x14ac:dyDescent="0.15">
      <c r="A915" s="6"/>
      <c r="D915" t="s">
        <v>90</v>
      </c>
      <c r="E915" t="str">
        <f>E776&amp;".138"</f>
        <v>15.138</v>
      </c>
      <c r="F915" t="s">
        <v>2739</v>
      </c>
      <c r="G915" t="s">
        <v>1979</v>
      </c>
      <c r="I915">
        <v>165</v>
      </c>
    </row>
    <row r="916" spans="1:9" ht="15" customHeight="1" x14ac:dyDescent="0.15">
      <c r="A916" s="6"/>
      <c r="D916" t="s">
        <v>90</v>
      </c>
      <c r="E916" t="str">
        <f>E776&amp;".139"</f>
        <v>15.139</v>
      </c>
      <c r="F916" t="s">
        <v>2740</v>
      </c>
      <c r="G916" t="s">
        <v>1979</v>
      </c>
      <c r="I916">
        <v>169</v>
      </c>
    </row>
    <row r="917" spans="1:9" ht="15" customHeight="1" x14ac:dyDescent="0.15">
      <c r="A917" s="6"/>
      <c r="D917" t="s">
        <v>90</v>
      </c>
      <c r="E917" t="str">
        <f>E776&amp;".140"</f>
        <v>15.140</v>
      </c>
      <c r="F917" t="s">
        <v>2741</v>
      </c>
      <c r="G917" t="s">
        <v>1979</v>
      </c>
      <c r="I917">
        <v>165</v>
      </c>
    </row>
    <row r="918" spans="1:9" ht="15" customHeight="1" x14ac:dyDescent="0.15">
      <c r="A918" s="6"/>
      <c r="D918" t="s">
        <v>90</v>
      </c>
      <c r="E918" t="str">
        <f>E776&amp;".141"</f>
        <v>15.141</v>
      </c>
      <c r="F918" t="s">
        <v>2742</v>
      </c>
      <c r="G918" t="s">
        <v>1979</v>
      </c>
      <c r="I918">
        <v>187</v>
      </c>
    </row>
    <row r="919" spans="1:9" ht="15" customHeight="1" x14ac:dyDescent="0.15">
      <c r="A919" s="6"/>
      <c r="D919" t="s">
        <v>90</v>
      </c>
      <c r="E919" t="str">
        <f>E776&amp;".142"</f>
        <v>15.142</v>
      </c>
      <c r="F919" t="s">
        <v>2743</v>
      </c>
      <c r="G919" t="s">
        <v>1979</v>
      </c>
      <c r="I919">
        <v>172</v>
      </c>
    </row>
    <row r="920" spans="1:9" ht="15" customHeight="1" x14ac:dyDescent="0.15">
      <c r="A920" s="6"/>
      <c r="D920" t="s">
        <v>90</v>
      </c>
      <c r="E920" t="str">
        <f>E776&amp;".143"</f>
        <v>15.143</v>
      </c>
      <c r="F920" t="s">
        <v>2744</v>
      </c>
      <c r="G920" t="s">
        <v>1979</v>
      </c>
      <c r="I920">
        <v>171</v>
      </c>
    </row>
    <row r="921" spans="1:9" ht="15" customHeight="1" x14ac:dyDescent="0.15">
      <c r="A921" s="6"/>
      <c r="D921" t="s">
        <v>90</v>
      </c>
      <c r="E921" t="str">
        <f>E776&amp;".144"</f>
        <v>15.144</v>
      </c>
      <c r="F921" t="s">
        <v>2745</v>
      </c>
      <c r="G921" t="s">
        <v>1979</v>
      </c>
      <c r="I921">
        <v>248</v>
      </c>
    </row>
    <row r="922" spans="1:9" ht="15" customHeight="1" x14ac:dyDescent="0.15">
      <c r="A922" s="6"/>
      <c r="D922" t="s">
        <v>90</v>
      </c>
      <c r="E922" t="str">
        <f>E776&amp;".145"</f>
        <v>15.145</v>
      </c>
      <c r="F922" t="s">
        <v>2746</v>
      </c>
      <c r="G922" t="s">
        <v>1979</v>
      </c>
      <c r="I922">
        <v>171</v>
      </c>
    </row>
    <row r="923" spans="1:9" ht="15" customHeight="1" x14ac:dyDescent="0.15">
      <c r="A923" s="6"/>
      <c r="D923" t="s">
        <v>90</v>
      </c>
      <c r="E923" t="str">
        <f>E776&amp;".146"</f>
        <v>15.146</v>
      </c>
      <c r="F923" t="s">
        <v>2747</v>
      </c>
      <c r="G923" t="s">
        <v>1979</v>
      </c>
      <c r="I923">
        <v>199</v>
      </c>
    </row>
    <row r="924" spans="1:9" ht="15" customHeight="1" x14ac:dyDescent="0.15">
      <c r="A924" s="6"/>
      <c r="D924" t="s">
        <v>90</v>
      </c>
      <c r="E924" t="str">
        <f>E776&amp;".147"</f>
        <v>15.147</v>
      </c>
      <c r="F924" t="s">
        <v>2748</v>
      </c>
      <c r="G924" t="s">
        <v>1979</v>
      </c>
      <c r="I924">
        <v>238.47300000000001</v>
      </c>
    </row>
    <row r="925" spans="1:9" ht="15" customHeight="1" x14ac:dyDescent="0.15">
      <c r="A925" s="6"/>
      <c r="D925" t="s">
        <v>90</v>
      </c>
      <c r="E925" t="str">
        <f>E776&amp;".148"</f>
        <v>15.148</v>
      </c>
      <c r="F925" t="s">
        <v>2749</v>
      </c>
      <c r="G925" t="s">
        <v>1979</v>
      </c>
      <c r="I925">
        <v>200</v>
      </c>
    </row>
    <row r="926" spans="1:9" ht="15" customHeight="1" x14ac:dyDescent="0.15">
      <c r="A926" s="6"/>
      <c r="D926" t="s">
        <v>90</v>
      </c>
      <c r="E926" t="str">
        <f>E776&amp;".149"</f>
        <v>15.149</v>
      </c>
      <c r="F926" t="s">
        <v>2750</v>
      </c>
      <c r="G926" t="s">
        <v>1979</v>
      </c>
      <c r="I926">
        <v>195</v>
      </c>
    </row>
    <row r="927" spans="1:9" ht="15" customHeight="1" x14ac:dyDescent="0.15">
      <c r="A927" s="6"/>
      <c r="D927" t="s">
        <v>90</v>
      </c>
      <c r="E927" t="str">
        <f>E776&amp;".150"</f>
        <v>15.150</v>
      </c>
      <c r="F927" t="s">
        <v>2751</v>
      </c>
      <c r="G927" t="s">
        <v>1979</v>
      </c>
      <c r="I927">
        <v>227</v>
      </c>
    </row>
    <row r="928" spans="1:9" ht="15" customHeight="1" x14ac:dyDescent="0.15">
      <c r="A928" s="6"/>
      <c r="D928" t="s">
        <v>90</v>
      </c>
      <c r="E928" t="str">
        <f>E776&amp;".151"</f>
        <v>15.151</v>
      </c>
      <c r="F928" t="s">
        <v>2752</v>
      </c>
      <c r="G928" t="s">
        <v>1979</v>
      </c>
      <c r="I928">
        <v>210</v>
      </c>
    </row>
    <row r="929" spans="1:9" ht="15" customHeight="1" x14ac:dyDescent="0.15">
      <c r="A929" s="6"/>
      <c r="D929" t="s">
        <v>90</v>
      </c>
      <c r="E929" t="str">
        <f>E776&amp;".152"</f>
        <v>15.152</v>
      </c>
      <c r="F929" t="s">
        <v>2753</v>
      </c>
      <c r="G929" t="s">
        <v>1979</v>
      </c>
      <c r="I929">
        <v>210</v>
      </c>
    </row>
    <row r="930" spans="1:9" ht="15" customHeight="1" x14ac:dyDescent="0.15">
      <c r="A930" s="6"/>
      <c r="D930" t="s">
        <v>90</v>
      </c>
      <c r="E930" t="str">
        <f>E776&amp;".153"</f>
        <v>15.153</v>
      </c>
      <c r="F930" t="s">
        <v>2754</v>
      </c>
      <c r="G930" t="s">
        <v>1979</v>
      </c>
      <c r="I930">
        <v>210</v>
      </c>
    </row>
    <row r="931" spans="1:9" ht="15" customHeight="1" x14ac:dyDescent="0.15">
      <c r="A931" s="6"/>
      <c r="D931" t="s">
        <v>90</v>
      </c>
      <c r="E931" t="str">
        <f>E776&amp;".154"</f>
        <v>15.154</v>
      </c>
      <c r="F931" t="s">
        <v>2755</v>
      </c>
      <c r="G931" t="s">
        <v>1979</v>
      </c>
      <c r="I931">
        <v>210</v>
      </c>
    </row>
    <row r="932" spans="1:9" ht="15" customHeight="1" x14ac:dyDescent="0.15">
      <c r="A932" s="6"/>
      <c r="D932" t="s">
        <v>90</v>
      </c>
      <c r="E932" t="str">
        <f>E776&amp;".155"</f>
        <v>15.155</v>
      </c>
      <c r="F932" t="s">
        <v>2756</v>
      </c>
      <c r="G932" t="s">
        <v>1979</v>
      </c>
      <c r="I932">
        <v>210</v>
      </c>
    </row>
    <row r="933" spans="1:9" ht="15" customHeight="1" x14ac:dyDescent="0.15">
      <c r="A933" s="6"/>
      <c r="D933" t="s">
        <v>90</v>
      </c>
      <c r="E933" t="str">
        <f>E776&amp;".156"</f>
        <v>15.156</v>
      </c>
      <c r="F933" t="s">
        <v>2757</v>
      </c>
      <c r="G933" t="s">
        <v>1979</v>
      </c>
      <c r="I933">
        <v>266</v>
      </c>
    </row>
    <row r="934" spans="1:9" ht="15" customHeight="1" x14ac:dyDescent="0.15">
      <c r="A934" s="6"/>
      <c r="D934" t="s">
        <v>90</v>
      </c>
      <c r="E934" t="str">
        <f>E776&amp;".157"</f>
        <v>15.157</v>
      </c>
      <c r="F934" t="s">
        <v>2758</v>
      </c>
      <c r="G934" t="s">
        <v>1979</v>
      </c>
      <c r="I934">
        <v>266</v>
      </c>
    </row>
    <row r="935" spans="1:9" ht="15" customHeight="1" x14ac:dyDescent="0.15">
      <c r="A935" s="6"/>
      <c r="D935" t="s">
        <v>90</v>
      </c>
      <c r="E935" t="str">
        <f>E776&amp;".158"</f>
        <v>15.158</v>
      </c>
      <c r="F935" t="s">
        <v>2759</v>
      </c>
      <c r="G935" t="s">
        <v>1979</v>
      </c>
      <c r="I935">
        <v>263</v>
      </c>
    </row>
    <row r="936" spans="1:9" ht="15" customHeight="1" x14ac:dyDescent="0.15">
      <c r="A936" s="6"/>
      <c r="D936" t="s">
        <v>90</v>
      </c>
      <c r="E936" t="str">
        <f>E776&amp;".159"</f>
        <v>15.159</v>
      </c>
      <c r="F936" t="s">
        <v>2760</v>
      </c>
      <c r="G936" t="s">
        <v>1979</v>
      </c>
      <c r="I936">
        <v>270</v>
      </c>
    </row>
    <row r="937" spans="1:9" ht="15" customHeight="1" x14ac:dyDescent="0.15">
      <c r="A937" s="6"/>
      <c r="D937" t="s">
        <v>90</v>
      </c>
      <c r="E937" t="str">
        <f>E776&amp;".160"</f>
        <v>15.160</v>
      </c>
      <c r="F937" t="s">
        <v>2761</v>
      </c>
      <c r="G937" t="s">
        <v>1979</v>
      </c>
      <c r="I937">
        <v>191</v>
      </c>
    </row>
    <row r="938" spans="1:9" ht="15" customHeight="1" x14ac:dyDescent="0.15">
      <c r="A938" s="6"/>
      <c r="D938" t="s">
        <v>90</v>
      </c>
      <c r="E938" t="str">
        <f>E776&amp;".161"</f>
        <v>15.161</v>
      </c>
      <c r="F938" t="s">
        <v>2762</v>
      </c>
      <c r="G938" t="s">
        <v>1979</v>
      </c>
      <c r="I938">
        <v>186</v>
      </c>
    </row>
    <row r="939" spans="1:9" ht="15" customHeight="1" x14ac:dyDescent="0.15">
      <c r="A939" s="6"/>
      <c r="D939" t="s">
        <v>90</v>
      </c>
      <c r="E939" t="str">
        <f>E776&amp;".162"</f>
        <v>15.162</v>
      </c>
      <c r="F939" t="s">
        <v>2763</v>
      </c>
      <c r="G939" t="s">
        <v>1979</v>
      </c>
      <c r="I939">
        <v>192</v>
      </c>
    </row>
    <row r="940" spans="1:9" ht="15" customHeight="1" x14ac:dyDescent="0.15">
      <c r="A940" s="6"/>
      <c r="D940" t="s">
        <v>90</v>
      </c>
      <c r="E940" t="str">
        <f>E776&amp;".163"</f>
        <v>15.163</v>
      </c>
      <c r="F940" t="s">
        <v>2764</v>
      </c>
      <c r="G940" t="s">
        <v>1979</v>
      </c>
      <c r="I940">
        <v>203</v>
      </c>
    </row>
    <row r="941" spans="1:9" ht="15" customHeight="1" x14ac:dyDescent="0.15">
      <c r="A941" s="6"/>
      <c r="D941" t="s">
        <v>90</v>
      </c>
      <c r="E941" t="str">
        <f>E776&amp;".164"</f>
        <v>15.164</v>
      </c>
      <c r="F941" t="s">
        <v>2765</v>
      </c>
      <c r="G941" t="s">
        <v>1979</v>
      </c>
      <c r="I941">
        <v>254</v>
      </c>
    </row>
    <row r="942" spans="1:9" ht="15" customHeight="1" x14ac:dyDescent="0.15">
      <c r="A942" s="6"/>
      <c r="D942" t="s">
        <v>90</v>
      </c>
      <c r="E942" t="str">
        <f>E776&amp;".165"</f>
        <v>15.165</v>
      </c>
      <c r="F942" t="s">
        <v>2766</v>
      </c>
      <c r="G942" t="s">
        <v>1979</v>
      </c>
      <c r="I942">
        <v>260</v>
      </c>
    </row>
    <row r="943" spans="1:9" ht="15" customHeight="1" x14ac:dyDescent="0.15">
      <c r="A943" s="6"/>
      <c r="D943" t="s">
        <v>90</v>
      </c>
      <c r="E943" t="str">
        <f>E776&amp;".166"</f>
        <v>15.166</v>
      </c>
      <c r="F943" t="s">
        <v>2767</v>
      </c>
      <c r="G943" t="s">
        <v>1979</v>
      </c>
      <c r="I943">
        <v>210</v>
      </c>
    </row>
    <row r="944" spans="1:9" ht="15" customHeight="1" x14ac:dyDescent="0.15">
      <c r="A944" s="6"/>
      <c r="D944" t="s">
        <v>90</v>
      </c>
      <c r="E944" t="str">
        <f>E776&amp;".167"</f>
        <v>15.167</v>
      </c>
      <c r="F944" t="s">
        <v>2768</v>
      </c>
      <c r="G944" t="s">
        <v>1979</v>
      </c>
      <c r="I944">
        <v>185</v>
      </c>
    </row>
    <row r="945" spans="1:9" ht="15" customHeight="1" x14ac:dyDescent="0.15">
      <c r="A945" s="6"/>
      <c r="D945" t="s">
        <v>90</v>
      </c>
      <c r="E945" t="str">
        <f>E776&amp;".168"</f>
        <v>15.168</v>
      </c>
      <c r="F945" t="s">
        <v>2769</v>
      </c>
      <c r="G945" t="s">
        <v>1979</v>
      </c>
      <c r="I945">
        <v>220</v>
      </c>
    </row>
    <row r="946" spans="1:9" ht="15" customHeight="1" x14ac:dyDescent="0.15">
      <c r="A946" s="6"/>
      <c r="D946" t="s">
        <v>90</v>
      </c>
      <c r="E946" t="str">
        <f>E776&amp;".169"</f>
        <v>15.169</v>
      </c>
      <c r="F946" t="s">
        <v>2770</v>
      </c>
      <c r="G946" t="s">
        <v>1979</v>
      </c>
      <c r="I946">
        <v>165</v>
      </c>
    </row>
    <row r="947" spans="1:9" ht="15" customHeight="1" x14ac:dyDescent="0.15">
      <c r="A947" s="6"/>
      <c r="D947" t="s">
        <v>90</v>
      </c>
      <c r="E947" t="str">
        <f>E776&amp;".170"</f>
        <v>15.170</v>
      </c>
      <c r="F947" t="s">
        <v>2771</v>
      </c>
      <c r="G947" t="s">
        <v>1979</v>
      </c>
      <c r="I947">
        <v>170.732</v>
      </c>
    </row>
    <row r="948" spans="1:9" ht="15" customHeight="1" x14ac:dyDescent="0.15">
      <c r="A948" s="6"/>
      <c r="D948" t="s">
        <v>90</v>
      </c>
      <c r="E948" t="str">
        <f>E776&amp;".171"</f>
        <v>15.171</v>
      </c>
      <c r="F948" t="s">
        <v>2772</v>
      </c>
      <c r="G948" t="s">
        <v>1979</v>
      </c>
      <c r="I948">
        <v>210</v>
      </c>
    </row>
    <row r="949" spans="1:9" ht="15" customHeight="1" x14ac:dyDescent="0.15">
      <c r="A949" s="6"/>
      <c r="D949" t="s">
        <v>90</v>
      </c>
      <c r="E949" t="str">
        <f>E776&amp;".172"</f>
        <v>15.172</v>
      </c>
      <c r="F949" t="s">
        <v>2773</v>
      </c>
      <c r="G949" t="s">
        <v>1979</v>
      </c>
      <c r="I949">
        <v>210</v>
      </c>
    </row>
    <row r="950" spans="1:9" ht="15" customHeight="1" x14ac:dyDescent="0.15">
      <c r="A950" s="6"/>
      <c r="D950" t="s">
        <v>90</v>
      </c>
      <c r="E950" t="str">
        <f>E776&amp;".173"</f>
        <v>15.173</v>
      </c>
      <c r="F950" t="s">
        <v>2774</v>
      </c>
      <c r="G950" t="s">
        <v>1979</v>
      </c>
      <c r="I950">
        <v>210</v>
      </c>
    </row>
    <row r="951" spans="1:9" ht="15" customHeight="1" x14ac:dyDescent="0.15">
      <c r="A951" s="6"/>
      <c r="D951" t="s">
        <v>90</v>
      </c>
      <c r="E951" t="str">
        <f>E776&amp;".174"</f>
        <v>15.174</v>
      </c>
      <c r="F951" t="s">
        <v>2775</v>
      </c>
      <c r="G951" t="s">
        <v>1979</v>
      </c>
      <c r="I951">
        <v>192.14</v>
      </c>
    </row>
    <row r="952" spans="1:9" ht="15" customHeight="1" x14ac:dyDescent="0.15">
      <c r="A952" s="6"/>
      <c r="D952" t="s">
        <v>90</v>
      </c>
      <c r="E952" t="str">
        <f>E776&amp;".175"</f>
        <v>15.175</v>
      </c>
      <c r="F952" t="s">
        <v>2776</v>
      </c>
      <c r="G952" t="s">
        <v>1979</v>
      </c>
      <c r="I952">
        <v>260</v>
      </c>
    </row>
    <row r="953" spans="1:9" ht="15" customHeight="1" x14ac:dyDescent="0.15">
      <c r="A953" s="6"/>
      <c r="D953" t="s">
        <v>90</v>
      </c>
      <c r="E953" t="str">
        <f>E776&amp;".176"</f>
        <v>15.176</v>
      </c>
      <c r="F953" t="s">
        <v>2777</v>
      </c>
      <c r="G953" t="s">
        <v>1979</v>
      </c>
      <c r="I953">
        <v>169.80600000000001</v>
      </c>
    </row>
    <row r="954" spans="1:9" ht="15" customHeight="1" x14ac:dyDescent="0.15">
      <c r="A954" s="6"/>
      <c r="D954" t="s">
        <v>90</v>
      </c>
      <c r="E954" t="str">
        <f>E776&amp;".177"</f>
        <v>15.177</v>
      </c>
      <c r="F954" t="s">
        <v>2778</v>
      </c>
      <c r="G954" t="s">
        <v>1979</v>
      </c>
      <c r="I954">
        <v>263</v>
      </c>
    </row>
    <row r="955" spans="1:9" ht="15" customHeight="1" x14ac:dyDescent="0.15">
      <c r="A955" s="6"/>
      <c r="D955" t="s">
        <v>90</v>
      </c>
      <c r="E955" t="str">
        <f>E776&amp;".178"</f>
        <v>15.178</v>
      </c>
      <c r="F955" t="s">
        <v>2779</v>
      </c>
      <c r="G955" t="s">
        <v>1979</v>
      </c>
      <c r="I955">
        <v>254</v>
      </c>
    </row>
    <row r="956" spans="1:9" ht="15" customHeight="1" x14ac:dyDescent="0.15">
      <c r="A956" s="6"/>
      <c r="D956" t="s">
        <v>90</v>
      </c>
      <c r="E956" t="str">
        <f>E776&amp;".179"</f>
        <v>15.179</v>
      </c>
      <c r="F956" t="s">
        <v>2780</v>
      </c>
      <c r="G956" t="s">
        <v>1979</v>
      </c>
      <c r="I956">
        <v>160</v>
      </c>
    </row>
    <row r="957" spans="1:9" ht="15" customHeight="1" x14ac:dyDescent="0.15">
      <c r="A957" s="6"/>
      <c r="D957" t="s">
        <v>90</v>
      </c>
      <c r="E957" t="str">
        <f>E776&amp;".180"</f>
        <v>15.180</v>
      </c>
      <c r="F957" t="s">
        <v>2781</v>
      </c>
      <c r="G957" t="s">
        <v>1979</v>
      </c>
      <c r="I957">
        <v>161.96100000000001</v>
      </c>
    </row>
    <row r="958" spans="1:9" ht="15" customHeight="1" x14ac:dyDescent="0.15">
      <c r="A958" s="6"/>
      <c r="D958" t="s">
        <v>90</v>
      </c>
      <c r="E958" t="str">
        <f>E776&amp;".181"</f>
        <v>15.181</v>
      </c>
      <c r="F958" t="s">
        <v>2782</v>
      </c>
      <c r="G958" t="s">
        <v>1979</v>
      </c>
      <c r="I958">
        <v>179.75899999999999</v>
      </c>
    </row>
    <row r="959" spans="1:9" ht="15" customHeight="1" x14ac:dyDescent="0.15">
      <c r="A959" s="6"/>
      <c r="D959" t="s">
        <v>90</v>
      </c>
      <c r="E959" t="str">
        <f>E776&amp;".182"</f>
        <v>15.182</v>
      </c>
      <c r="F959" t="s">
        <v>2783</v>
      </c>
      <c r="G959" t="s">
        <v>1979</v>
      </c>
      <c r="I959">
        <v>210</v>
      </c>
    </row>
    <row r="960" spans="1:9" ht="15" customHeight="1" x14ac:dyDescent="0.15">
      <c r="A960" s="6"/>
      <c r="D960" t="s">
        <v>90</v>
      </c>
      <c r="E960" t="str">
        <f>E776&amp;".183"</f>
        <v>15.183</v>
      </c>
      <c r="F960" t="s">
        <v>2784</v>
      </c>
      <c r="G960" t="s">
        <v>1979</v>
      </c>
      <c r="I960">
        <v>220.488</v>
      </c>
    </row>
    <row r="961" spans="1:9" ht="15" customHeight="1" x14ac:dyDescent="0.15">
      <c r="A961" s="6"/>
      <c r="D961" t="s">
        <v>90</v>
      </c>
      <c r="E961" t="str">
        <f>E776&amp;".184"</f>
        <v>15.184</v>
      </c>
      <c r="F961" t="s">
        <v>2785</v>
      </c>
      <c r="G961" t="s">
        <v>1979</v>
      </c>
      <c r="I961">
        <v>220</v>
      </c>
    </row>
    <row r="962" spans="1:9" ht="15" customHeight="1" x14ac:dyDescent="0.15">
      <c r="A962" s="6"/>
      <c r="D962" t="s">
        <v>90</v>
      </c>
      <c r="E962" t="str">
        <f>E776&amp;".185"</f>
        <v>15.185</v>
      </c>
      <c r="F962" t="s">
        <v>2786</v>
      </c>
      <c r="G962" t="s">
        <v>1979</v>
      </c>
      <c r="I962">
        <v>226</v>
      </c>
    </row>
    <row r="963" spans="1:9" ht="15" customHeight="1" x14ac:dyDescent="0.15">
      <c r="A963" s="6"/>
      <c r="D963" t="s">
        <v>90</v>
      </c>
      <c r="E963" t="str">
        <f>E776&amp;".186"</f>
        <v>15.186</v>
      </c>
      <c r="F963" t="s">
        <v>2787</v>
      </c>
      <c r="G963" t="s">
        <v>1979</v>
      </c>
      <c r="I963">
        <v>181.124</v>
      </c>
    </row>
    <row r="964" spans="1:9" ht="15" customHeight="1" x14ac:dyDescent="0.15">
      <c r="A964" s="6"/>
      <c r="D964" t="s">
        <v>90</v>
      </c>
      <c r="E964" t="str">
        <f>E776&amp;".187"</f>
        <v>15.187</v>
      </c>
      <c r="F964" t="s">
        <v>2788</v>
      </c>
      <c r="G964" t="s">
        <v>1979</v>
      </c>
      <c r="I964">
        <v>229</v>
      </c>
    </row>
    <row r="965" spans="1:9" ht="15" customHeight="1" x14ac:dyDescent="0.15">
      <c r="A965" s="6"/>
      <c r="D965" t="s">
        <v>90</v>
      </c>
      <c r="E965" t="str">
        <f>E776&amp;".188"</f>
        <v>15.188</v>
      </c>
      <c r="F965" t="s">
        <v>2789</v>
      </c>
      <c r="G965" t="s">
        <v>1979</v>
      </c>
      <c r="I965">
        <v>233</v>
      </c>
    </row>
    <row r="966" spans="1:9" ht="15" customHeight="1" x14ac:dyDescent="0.15">
      <c r="A966" s="6"/>
      <c r="D966" t="s">
        <v>90</v>
      </c>
      <c r="E966" t="str">
        <f>E776&amp;".189"</f>
        <v>15.189</v>
      </c>
      <c r="F966" t="s">
        <v>2790</v>
      </c>
      <c r="G966" t="s">
        <v>1979</v>
      </c>
      <c r="I966">
        <v>224</v>
      </c>
    </row>
    <row r="967" spans="1:9" ht="15" customHeight="1" x14ac:dyDescent="0.15">
      <c r="A967" s="6"/>
      <c r="D967" t="s">
        <v>90</v>
      </c>
      <c r="E967" t="str">
        <f>E776&amp;".190"</f>
        <v>15.190</v>
      </c>
      <c r="F967" t="s">
        <v>2791</v>
      </c>
      <c r="G967" t="s">
        <v>1979</v>
      </c>
      <c r="I967">
        <v>233</v>
      </c>
    </row>
    <row r="968" spans="1:9" ht="15" customHeight="1" x14ac:dyDescent="0.15">
      <c r="A968" s="6"/>
      <c r="D968" t="s">
        <v>90</v>
      </c>
      <c r="E968" t="str">
        <f>E776&amp;".191"</f>
        <v>15.191</v>
      </c>
      <c r="F968" t="s">
        <v>2792</v>
      </c>
      <c r="G968" t="s">
        <v>1979</v>
      </c>
      <c r="I968">
        <v>210</v>
      </c>
    </row>
    <row r="969" spans="1:9" ht="15" customHeight="1" x14ac:dyDescent="0.15">
      <c r="A969" s="6"/>
      <c r="D969" t="s">
        <v>90</v>
      </c>
      <c r="E969" t="str">
        <f>E776&amp;".192"</f>
        <v>15.192</v>
      </c>
      <c r="F969" t="s">
        <v>2793</v>
      </c>
      <c r="G969" t="s">
        <v>1979</v>
      </c>
      <c r="I969">
        <v>229</v>
      </c>
    </row>
    <row r="970" spans="1:9" ht="15" customHeight="1" x14ac:dyDescent="0.15">
      <c r="A970" s="6"/>
      <c r="D970" t="s">
        <v>90</v>
      </c>
      <c r="E970" t="str">
        <f>E776&amp;".193"</f>
        <v>15.193</v>
      </c>
      <c r="F970" t="s">
        <v>2794</v>
      </c>
      <c r="G970" t="s">
        <v>1979</v>
      </c>
      <c r="I970">
        <v>209</v>
      </c>
    </row>
    <row r="971" spans="1:9" ht="15" customHeight="1" x14ac:dyDescent="0.15">
      <c r="A971" s="6"/>
      <c r="D971" t="s">
        <v>90</v>
      </c>
      <c r="E971" t="str">
        <f>E776&amp;".194"</f>
        <v>15.194</v>
      </c>
      <c r="F971" t="s">
        <v>2795</v>
      </c>
      <c r="G971" t="s">
        <v>1979</v>
      </c>
      <c r="I971">
        <v>217</v>
      </c>
    </row>
    <row r="972" spans="1:9" ht="15" customHeight="1" x14ac:dyDescent="0.15">
      <c r="A972" s="6"/>
      <c r="D972" t="s">
        <v>90</v>
      </c>
      <c r="E972" t="str">
        <f>E776&amp;".195"</f>
        <v>15.195</v>
      </c>
      <c r="F972" t="s">
        <v>2796</v>
      </c>
      <c r="G972" t="s">
        <v>1979</v>
      </c>
      <c r="I972">
        <v>263</v>
      </c>
    </row>
    <row r="973" spans="1:9" ht="15" customHeight="1" x14ac:dyDescent="0.15">
      <c r="A973" s="6"/>
      <c r="D973" t="s">
        <v>90</v>
      </c>
      <c r="E973" t="str">
        <f>E776&amp;".196"</f>
        <v>15.196</v>
      </c>
      <c r="F973" t="s">
        <v>2797</v>
      </c>
      <c r="G973" t="s">
        <v>1979</v>
      </c>
      <c r="I973">
        <v>224</v>
      </c>
    </row>
    <row r="974" spans="1:9" ht="15" customHeight="1" x14ac:dyDescent="0.15">
      <c r="A974" s="6"/>
      <c r="D974" t="s">
        <v>90</v>
      </c>
      <c r="E974" t="str">
        <f>E776&amp;".197"</f>
        <v>15.197</v>
      </c>
      <c r="F974" t="s">
        <v>2798</v>
      </c>
      <c r="G974" t="s">
        <v>1979</v>
      </c>
      <c r="I974">
        <v>220</v>
      </c>
    </row>
    <row r="975" spans="1:9" ht="15" customHeight="1" x14ac:dyDescent="0.15">
      <c r="A975" s="6"/>
      <c r="D975" t="s">
        <v>90</v>
      </c>
      <c r="E975" t="str">
        <f>E776&amp;".198"</f>
        <v>15.198</v>
      </c>
      <c r="F975" t="s">
        <v>2799</v>
      </c>
      <c r="G975" t="s">
        <v>1979</v>
      </c>
      <c r="I975">
        <v>223</v>
      </c>
    </row>
    <row r="976" spans="1:9" ht="15" customHeight="1" x14ac:dyDescent="0.15">
      <c r="A976" s="6"/>
      <c r="D976" t="s">
        <v>90</v>
      </c>
      <c r="E976" t="str">
        <f>E776&amp;".199"</f>
        <v>15.199</v>
      </c>
      <c r="F976" t="s">
        <v>2800</v>
      </c>
      <c r="G976" t="s">
        <v>1979</v>
      </c>
      <c r="I976">
        <v>210</v>
      </c>
    </row>
    <row r="977" spans="1:9" ht="15" customHeight="1" x14ac:dyDescent="0.15">
      <c r="A977" s="6"/>
      <c r="D977" t="s">
        <v>90</v>
      </c>
      <c r="E977" t="str">
        <f>E776&amp;".200"</f>
        <v>15.200</v>
      </c>
      <c r="F977" t="s">
        <v>2801</v>
      </c>
      <c r="G977" t="s">
        <v>1979</v>
      </c>
      <c r="I977">
        <v>210</v>
      </c>
    </row>
    <row r="978" spans="1:9" ht="15" customHeight="1" x14ac:dyDescent="0.15">
      <c r="A978" s="6"/>
      <c r="D978" t="s">
        <v>90</v>
      </c>
      <c r="E978" t="str">
        <f>E776&amp;".201"</f>
        <v>15.201</v>
      </c>
      <c r="F978" t="s">
        <v>2802</v>
      </c>
      <c r="G978" t="s">
        <v>1979</v>
      </c>
      <c r="I978">
        <v>210</v>
      </c>
    </row>
    <row r="979" spans="1:9" ht="15" customHeight="1" x14ac:dyDescent="0.15">
      <c r="A979" s="6"/>
      <c r="D979" t="s">
        <v>90</v>
      </c>
      <c r="E979" t="str">
        <f>E776&amp;".202"</f>
        <v>15.202</v>
      </c>
      <c r="F979" t="s">
        <v>2803</v>
      </c>
      <c r="G979" t="s">
        <v>1979</v>
      </c>
      <c r="I979">
        <v>210</v>
      </c>
    </row>
    <row r="980" spans="1:9" ht="15" customHeight="1" x14ac:dyDescent="0.15">
      <c r="A980" s="6"/>
      <c r="D980" t="s">
        <v>90</v>
      </c>
      <c r="E980" t="str">
        <f>E776&amp;".203"</f>
        <v>15.203</v>
      </c>
      <c r="F980" t="s">
        <v>2804</v>
      </c>
      <c r="G980" t="s">
        <v>1979</v>
      </c>
      <c r="I980">
        <v>210</v>
      </c>
    </row>
    <row r="981" spans="1:9" ht="15" customHeight="1" x14ac:dyDescent="0.15">
      <c r="A981" s="6"/>
      <c r="D981" t="s">
        <v>90</v>
      </c>
      <c r="E981" t="str">
        <f>E776&amp;".204"</f>
        <v>15.204</v>
      </c>
      <c r="F981" t="s">
        <v>2805</v>
      </c>
      <c r="G981" t="s">
        <v>1979</v>
      </c>
      <c r="I981">
        <v>210</v>
      </c>
    </row>
    <row r="982" spans="1:9" ht="15" customHeight="1" x14ac:dyDescent="0.15">
      <c r="A982" s="6"/>
      <c r="D982" t="s">
        <v>90</v>
      </c>
      <c r="E982" t="str">
        <f>E776&amp;".205"</f>
        <v>15.205</v>
      </c>
      <c r="F982" t="s">
        <v>2806</v>
      </c>
      <c r="G982" t="s">
        <v>1979</v>
      </c>
      <c r="I982">
        <v>210</v>
      </c>
    </row>
    <row r="983" spans="1:9" ht="15" customHeight="1" x14ac:dyDescent="0.15">
      <c r="A983" s="6"/>
      <c r="D983" t="s">
        <v>90</v>
      </c>
      <c r="E983" t="str">
        <f>E776&amp;".206"</f>
        <v>15.206</v>
      </c>
      <c r="F983" t="s">
        <v>2807</v>
      </c>
      <c r="G983" t="s">
        <v>1979</v>
      </c>
      <c r="I983">
        <v>167.99799999999999</v>
      </c>
    </row>
    <row r="984" spans="1:9" ht="15" customHeight="1" x14ac:dyDescent="0.15">
      <c r="A984" s="6"/>
      <c r="D984" t="s">
        <v>90</v>
      </c>
      <c r="E984" t="str">
        <f>E776&amp;".207"</f>
        <v>15.207</v>
      </c>
      <c r="F984" t="s">
        <v>2808</v>
      </c>
      <c r="G984" t="s">
        <v>1979</v>
      </c>
      <c r="I984">
        <v>180.238</v>
      </c>
    </row>
    <row r="985" spans="1:9" ht="15" customHeight="1" x14ac:dyDescent="0.15">
      <c r="A985" s="6"/>
      <c r="D985" t="s">
        <v>90</v>
      </c>
      <c r="E985" t="str">
        <f>E776&amp;".208"</f>
        <v>15.208</v>
      </c>
      <c r="F985" t="s">
        <v>2809</v>
      </c>
      <c r="G985" t="s">
        <v>1979</v>
      </c>
      <c r="I985">
        <v>167.69800000000001</v>
      </c>
    </row>
    <row r="986" spans="1:9" ht="15" customHeight="1" x14ac:dyDescent="0.15">
      <c r="A986" s="6"/>
      <c r="D986" t="s">
        <v>90</v>
      </c>
      <c r="E986" t="str">
        <f>E776&amp;".209"</f>
        <v>15.209</v>
      </c>
      <c r="F986" t="s">
        <v>2810</v>
      </c>
      <c r="G986" t="s">
        <v>1979</v>
      </c>
      <c r="I986">
        <v>239</v>
      </c>
    </row>
    <row r="987" spans="1:9" ht="15" customHeight="1" x14ac:dyDescent="0.15">
      <c r="A987" s="6"/>
      <c r="D987" t="s">
        <v>90</v>
      </c>
      <c r="E987" t="str">
        <f>E776&amp;".210"</f>
        <v>15.210</v>
      </c>
      <c r="F987" t="s">
        <v>2811</v>
      </c>
      <c r="G987" t="s">
        <v>1979</v>
      </c>
      <c r="I987">
        <v>240</v>
      </c>
    </row>
    <row r="988" spans="1:9" ht="15" customHeight="1" x14ac:dyDescent="0.15">
      <c r="A988" s="6"/>
      <c r="D988" t="s">
        <v>90</v>
      </c>
      <c r="E988" t="str">
        <f>E776&amp;".211"</f>
        <v>15.211</v>
      </c>
      <c r="F988" t="s">
        <v>2812</v>
      </c>
      <c r="G988" t="s">
        <v>1979</v>
      </c>
      <c r="I988">
        <v>240</v>
      </c>
    </row>
    <row r="989" spans="1:9" ht="15" customHeight="1" x14ac:dyDescent="0.15">
      <c r="A989" s="6"/>
      <c r="D989" t="s">
        <v>90</v>
      </c>
      <c r="E989" t="str">
        <f>E776&amp;".212"</f>
        <v>15.212</v>
      </c>
      <c r="F989" t="s">
        <v>2813</v>
      </c>
      <c r="G989" t="s">
        <v>1979</v>
      </c>
      <c r="I989">
        <v>247</v>
      </c>
    </row>
    <row r="990" spans="1:9" ht="15" customHeight="1" x14ac:dyDescent="0.15">
      <c r="A990" s="6"/>
      <c r="D990" t="s">
        <v>90</v>
      </c>
      <c r="E990" t="str">
        <f>E776&amp;".213"</f>
        <v>15.213</v>
      </c>
      <c r="F990" t="s">
        <v>2814</v>
      </c>
      <c r="G990" t="s">
        <v>1979</v>
      </c>
      <c r="I990">
        <v>282.60000000000002</v>
      </c>
    </row>
    <row r="991" spans="1:9" ht="15" customHeight="1" x14ac:dyDescent="0.15">
      <c r="A991" s="6"/>
      <c r="D991" t="s">
        <v>90</v>
      </c>
      <c r="E991" t="str">
        <f>E776&amp;".214"</f>
        <v>15.214</v>
      </c>
      <c r="F991" t="s">
        <v>2815</v>
      </c>
      <c r="G991" t="s">
        <v>1979</v>
      </c>
      <c r="I991">
        <v>239</v>
      </c>
    </row>
    <row r="992" spans="1:9" ht="15" customHeight="1" x14ac:dyDescent="0.15">
      <c r="A992" s="6"/>
      <c r="D992" t="s">
        <v>90</v>
      </c>
      <c r="E992" t="str">
        <f>E776&amp;".215"</f>
        <v>15.215</v>
      </c>
      <c r="F992" t="s">
        <v>2816</v>
      </c>
      <c r="G992" t="s">
        <v>1979</v>
      </c>
      <c r="I992">
        <v>171.77</v>
      </c>
    </row>
    <row r="993" spans="1:9" ht="15" customHeight="1" x14ac:dyDescent="0.15">
      <c r="A993" s="6"/>
      <c r="D993" t="s">
        <v>90</v>
      </c>
      <c r="E993" t="str">
        <f>E776&amp;".216"</f>
        <v>15.216</v>
      </c>
      <c r="F993" t="s">
        <v>2817</v>
      </c>
      <c r="G993" t="s">
        <v>1979</v>
      </c>
      <c r="I993">
        <v>210</v>
      </c>
    </row>
    <row r="994" spans="1:9" ht="15" customHeight="1" x14ac:dyDescent="0.15">
      <c r="A994" s="6"/>
      <c r="D994" t="s">
        <v>90</v>
      </c>
      <c r="E994" t="str">
        <f>E776&amp;".217"</f>
        <v>15.217</v>
      </c>
      <c r="F994" t="s">
        <v>2818</v>
      </c>
      <c r="G994" t="s">
        <v>1979</v>
      </c>
      <c r="I994">
        <v>210</v>
      </c>
    </row>
    <row r="995" spans="1:9" ht="15" customHeight="1" x14ac:dyDescent="0.15">
      <c r="A995" s="6"/>
      <c r="D995" t="s">
        <v>90</v>
      </c>
      <c r="E995" t="str">
        <f>E776&amp;".218"</f>
        <v>15.218</v>
      </c>
      <c r="F995" t="s">
        <v>2819</v>
      </c>
      <c r="G995" t="s">
        <v>1979</v>
      </c>
      <c r="I995">
        <v>210</v>
      </c>
    </row>
    <row r="996" spans="1:9" ht="15" customHeight="1" x14ac:dyDescent="0.15">
      <c r="A996" s="6"/>
      <c r="D996" t="s">
        <v>90</v>
      </c>
      <c r="E996" t="str">
        <f>E776&amp;".219"</f>
        <v>15.219</v>
      </c>
      <c r="F996" t="s">
        <v>2820</v>
      </c>
      <c r="G996" t="s">
        <v>1979</v>
      </c>
      <c r="I996">
        <v>178.857</v>
      </c>
    </row>
    <row r="997" spans="1:9" ht="15" customHeight="1" x14ac:dyDescent="0.15">
      <c r="A997" s="6"/>
      <c r="D997" t="s">
        <v>90</v>
      </c>
      <c r="E997" t="str">
        <f>E776&amp;".220"</f>
        <v>15.220</v>
      </c>
      <c r="F997" t="s">
        <v>2821</v>
      </c>
      <c r="G997" t="s">
        <v>1979</v>
      </c>
      <c r="I997">
        <v>190.18600000000001</v>
      </c>
    </row>
    <row r="998" spans="1:9" ht="15" customHeight="1" x14ac:dyDescent="0.15">
      <c r="A998" s="6"/>
      <c r="D998" t="s">
        <v>90</v>
      </c>
      <c r="E998" t="str">
        <f>E776&amp;".221"</f>
        <v>15.221</v>
      </c>
      <c r="F998" t="s">
        <v>2822</v>
      </c>
      <c r="G998" t="s">
        <v>1979</v>
      </c>
      <c r="I998">
        <v>191.07900000000001</v>
      </c>
    </row>
    <row r="999" spans="1:9" ht="15" customHeight="1" x14ac:dyDescent="0.15">
      <c r="A999" s="6"/>
      <c r="D999" t="s">
        <v>90</v>
      </c>
      <c r="E999" t="str">
        <f>E776&amp;".222"</f>
        <v>15.222</v>
      </c>
      <c r="F999" t="s">
        <v>2823</v>
      </c>
      <c r="G999" t="s">
        <v>1979</v>
      </c>
      <c r="I999">
        <v>180.345</v>
      </c>
    </row>
    <row r="1000" spans="1:9" ht="15" customHeight="1" x14ac:dyDescent="0.15">
      <c r="A1000" s="6"/>
      <c r="D1000" t="s">
        <v>90</v>
      </c>
      <c r="E1000" t="str">
        <f>E776&amp;".223"</f>
        <v>15.223</v>
      </c>
      <c r="F1000" t="s">
        <v>2824</v>
      </c>
      <c r="G1000" t="s">
        <v>1979</v>
      </c>
      <c r="I1000">
        <v>169.31899999999999</v>
      </c>
    </row>
    <row r="1001" spans="1:9" ht="15" customHeight="1" x14ac:dyDescent="0.15">
      <c r="A1001" s="6"/>
      <c r="D1001" t="s">
        <v>90</v>
      </c>
      <c r="E1001" t="str">
        <f>E776&amp;".224"</f>
        <v>15.224</v>
      </c>
      <c r="F1001" t="s">
        <v>2138</v>
      </c>
      <c r="G1001" t="s">
        <v>1979</v>
      </c>
      <c r="I1001">
        <v>177.79599999999999</v>
      </c>
    </row>
    <row r="1002" spans="1:9" ht="15" customHeight="1" x14ac:dyDescent="0.15">
      <c r="A1002" s="6"/>
      <c r="D1002" t="s">
        <v>90</v>
      </c>
      <c r="E1002" t="str">
        <f>E776&amp;".225"</f>
        <v>15.225</v>
      </c>
      <c r="F1002" t="s">
        <v>2825</v>
      </c>
      <c r="G1002" t="s">
        <v>1979</v>
      </c>
      <c r="I1002">
        <v>210</v>
      </c>
    </row>
    <row r="1003" spans="1:9" ht="15" customHeight="1" x14ac:dyDescent="0.15">
      <c r="A1003" s="6"/>
      <c r="D1003" t="s">
        <v>90</v>
      </c>
      <c r="E1003" t="str">
        <f>E776&amp;".226"</f>
        <v>15.226</v>
      </c>
      <c r="F1003" t="s">
        <v>2826</v>
      </c>
      <c r="G1003" t="s">
        <v>1979</v>
      </c>
      <c r="I1003">
        <v>210</v>
      </c>
    </row>
    <row r="1004" spans="1:9" ht="15" customHeight="1" x14ac:dyDescent="0.15">
      <c r="A1004" s="6"/>
      <c r="D1004" t="s">
        <v>90</v>
      </c>
      <c r="E1004" t="str">
        <f>E776&amp;".227"</f>
        <v>15.227</v>
      </c>
      <c r="F1004" t="s">
        <v>2827</v>
      </c>
      <c r="G1004" t="s">
        <v>1979</v>
      </c>
      <c r="I1004">
        <v>210</v>
      </c>
    </row>
    <row r="1005" spans="1:9" ht="15" customHeight="1" x14ac:dyDescent="0.15">
      <c r="A1005" s="6"/>
      <c r="D1005" t="s">
        <v>90</v>
      </c>
      <c r="E1005" t="str">
        <f>E776&amp;".228"</f>
        <v>15.228</v>
      </c>
      <c r="F1005" t="s">
        <v>2828</v>
      </c>
      <c r="G1005" t="s">
        <v>1979</v>
      </c>
      <c r="I1005">
        <v>210</v>
      </c>
    </row>
    <row r="1006" spans="1:9" ht="15" customHeight="1" x14ac:dyDescent="0.15">
      <c r="A1006" s="6"/>
      <c r="D1006" t="s">
        <v>90</v>
      </c>
      <c r="E1006" t="str">
        <f>E776&amp;".229"</f>
        <v>15.229</v>
      </c>
      <c r="F1006" t="s">
        <v>2829</v>
      </c>
      <c r="G1006" t="s">
        <v>1979</v>
      </c>
      <c r="I1006">
        <v>210</v>
      </c>
    </row>
    <row r="1007" spans="1:9" ht="15" customHeight="1" x14ac:dyDescent="0.15">
      <c r="A1007" s="6"/>
      <c r="D1007" t="s">
        <v>90</v>
      </c>
      <c r="E1007" t="str">
        <f>E776&amp;".230"</f>
        <v>15.230</v>
      </c>
      <c r="F1007" t="s">
        <v>2830</v>
      </c>
      <c r="G1007" t="s">
        <v>1979</v>
      </c>
      <c r="I1007">
        <v>210.018</v>
      </c>
    </row>
    <row r="1008" spans="1:9" ht="15" customHeight="1" x14ac:dyDescent="0.15">
      <c r="A1008" s="6"/>
      <c r="D1008" t="s">
        <v>90</v>
      </c>
      <c r="E1008" t="str">
        <f>E776&amp;".231"</f>
        <v>15.231</v>
      </c>
      <c r="F1008" t="s">
        <v>2831</v>
      </c>
      <c r="G1008" t="s">
        <v>1979</v>
      </c>
      <c r="I1008">
        <v>210</v>
      </c>
    </row>
    <row r="1009" spans="1:9" ht="15" customHeight="1" x14ac:dyDescent="0.15">
      <c r="A1009" s="6"/>
      <c r="D1009" t="s">
        <v>90</v>
      </c>
      <c r="E1009" t="str">
        <f>E776&amp;".232"</f>
        <v>15.232</v>
      </c>
      <c r="F1009" t="s">
        <v>2832</v>
      </c>
      <c r="G1009" t="s">
        <v>1979</v>
      </c>
      <c r="I1009">
        <v>210</v>
      </c>
    </row>
    <row r="1010" spans="1:9" ht="15" customHeight="1" x14ac:dyDescent="0.15">
      <c r="A1010" s="6"/>
      <c r="D1010" t="s">
        <v>90</v>
      </c>
      <c r="E1010" t="str">
        <f>E776&amp;".233"</f>
        <v>15.233</v>
      </c>
      <c r="F1010" t="s">
        <v>2833</v>
      </c>
      <c r="G1010" t="s">
        <v>1979</v>
      </c>
      <c r="I1010">
        <v>265.40600000000001</v>
      </c>
    </row>
    <row r="1011" spans="1:9" ht="15" customHeight="1" x14ac:dyDescent="0.15">
      <c r="A1011" s="6"/>
      <c r="D1011" t="s">
        <v>90</v>
      </c>
      <c r="E1011" t="str">
        <f>E776&amp;".234"</f>
        <v>15.234</v>
      </c>
      <c r="F1011" t="s">
        <v>2144</v>
      </c>
      <c r="G1011" t="s">
        <v>1979</v>
      </c>
      <c r="I1011">
        <v>245.18799999999999</v>
      </c>
    </row>
    <row r="1012" spans="1:9" ht="15" customHeight="1" x14ac:dyDescent="0.15">
      <c r="A1012" s="6"/>
      <c r="D1012" t="s">
        <v>90</v>
      </c>
      <c r="E1012" t="str">
        <f>E776&amp;".235"</f>
        <v>15.235</v>
      </c>
      <c r="F1012" t="s">
        <v>2834</v>
      </c>
      <c r="G1012" t="s">
        <v>1979</v>
      </c>
      <c r="I1012">
        <v>179.97900000000001</v>
      </c>
    </row>
    <row r="1013" spans="1:9" ht="15" customHeight="1" x14ac:dyDescent="0.15">
      <c r="A1013" s="6"/>
      <c r="D1013" t="s">
        <v>90</v>
      </c>
      <c r="E1013" t="str">
        <f>E776&amp;".236"</f>
        <v>15.236</v>
      </c>
      <c r="F1013" t="s">
        <v>2835</v>
      </c>
      <c r="G1013" t="s">
        <v>1979</v>
      </c>
      <c r="I1013">
        <v>238.79</v>
      </c>
    </row>
    <row r="1014" spans="1:9" ht="15" customHeight="1" x14ac:dyDescent="0.15">
      <c r="A1014" s="6"/>
      <c r="D1014" t="s">
        <v>90</v>
      </c>
      <c r="E1014" t="str">
        <f>E776&amp;".237"</f>
        <v>15.237</v>
      </c>
      <c r="F1014" t="s">
        <v>2836</v>
      </c>
      <c r="G1014" t="s">
        <v>1979</v>
      </c>
      <c r="I1014">
        <v>168.27199999999999</v>
      </c>
    </row>
    <row r="1015" spans="1:9" ht="15" customHeight="1" x14ac:dyDescent="0.15">
      <c r="A1015" s="6"/>
      <c r="D1015" t="s">
        <v>90</v>
      </c>
      <c r="E1015" t="str">
        <f>E776&amp;".238"</f>
        <v>15.238</v>
      </c>
      <c r="F1015" t="s">
        <v>2142</v>
      </c>
      <c r="G1015" t="s">
        <v>1979</v>
      </c>
      <c r="I1015">
        <v>188.53899999999999</v>
      </c>
    </row>
    <row r="1016" spans="1:9" ht="15" customHeight="1" x14ac:dyDescent="0.15">
      <c r="A1016" s="6"/>
      <c r="D1016" t="s">
        <v>90</v>
      </c>
      <c r="E1016" t="str">
        <f>E776&amp;".239"</f>
        <v>15.239</v>
      </c>
      <c r="F1016" t="s">
        <v>2837</v>
      </c>
      <c r="G1016" t="s">
        <v>1979</v>
      </c>
      <c r="I1016">
        <v>204.57400000000001</v>
      </c>
    </row>
    <row r="1017" spans="1:9" ht="15" customHeight="1" x14ac:dyDescent="0.15">
      <c r="A1017" s="6"/>
      <c r="D1017" t="s">
        <v>90</v>
      </c>
      <c r="E1017" t="str">
        <f>E776&amp;".240"</f>
        <v>15.240</v>
      </c>
      <c r="F1017" t="s">
        <v>2838</v>
      </c>
      <c r="G1017" t="s">
        <v>1979</v>
      </c>
      <c r="I1017">
        <v>240</v>
      </c>
    </row>
    <row r="1018" spans="1:9" ht="15" customHeight="1" x14ac:dyDescent="0.15">
      <c r="A1018" s="6"/>
      <c r="D1018" t="s">
        <v>90</v>
      </c>
      <c r="E1018" t="str">
        <f>E776&amp;".241"</f>
        <v>15.241</v>
      </c>
      <c r="F1018" t="s">
        <v>2839</v>
      </c>
      <c r="G1018" t="s">
        <v>1979</v>
      </c>
      <c r="I1018">
        <v>230</v>
      </c>
    </row>
    <row r="1019" spans="1:9" ht="15" customHeight="1" x14ac:dyDescent="0.15">
      <c r="A1019" s="6"/>
      <c r="D1019" t="s">
        <v>90</v>
      </c>
      <c r="E1019" t="str">
        <f>E776&amp;".242"</f>
        <v>15.242</v>
      </c>
      <c r="F1019" t="s">
        <v>2840</v>
      </c>
      <c r="G1019" t="s">
        <v>1979</v>
      </c>
      <c r="I1019">
        <v>238</v>
      </c>
    </row>
    <row r="1020" spans="1:9" ht="15" customHeight="1" x14ac:dyDescent="0.15">
      <c r="A1020" s="6"/>
      <c r="D1020" t="s">
        <v>90</v>
      </c>
      <c r="E1020" t="str">
        <f>E776&amp;".243"</f>
        <v>15.243</v>
      </c>
      <c r="F1020" t="s">
        <v>2841</v>
      </c>
      <c r="G1020" t="s">
        <v>1979</v>
      </c>
      <c r="I1020">
        <v>260</v>
      </c>
    </row>
    <row r="1021" spans="1:9" ht="15" customHeight="1" x14ac:dyDescent="0.15">
      <c r="A1021" s="6"/>
      <c r="D1021" t="s">
        <v>90</v>
      </c>
      <c r="E1021" t="str">
        <f>E776&amp;".244"</f>
        <v>15.244</v>
      </c>
      <c r="F1021" t="s">
        <v>2842</v>
      </c>
      <c r="G1021" t="s">
        <v>1979</v>
      </c>
      <c r="I1021">
        <v>216</v>
      </c>
    </row>
    <row r="1022" spans="1:9" ht="15" customHeight="1" x14ac:dyDescent="0.15">
      <c r="A1022" s="6"/>
      <c r="D1022" t="s">
        <v>90</v>
      </c>
      <c r="E1022" t="str">
        <f>E776&amp;".245"</f>
        <v>15.245</v>
      </c>
      <c r="F1022" t="s">
        <v>2843</v>
      </c>
      <c r="G1022" t="s">
        <v>1979</v>
      </c>
      <c r="I1022">
        <v>162.803</v>
      </c>
    </row>
    <row r="1023" spans="1:9" ht="15" customHeight="1" x14ac:dyDescent="0.15">
      <c r="A1023" s="6"/>
      <c r="D1023" t="s">
        <v>90</v>
      </c>
      <c r="E1023" t="str">
        <f>E776&amp;".246"</f>
        <v>15.246</v>
      </c>
      <c r="F1023" t="s">
        <v>2844</v>
      </c>
      <c r="G1023" t="s">
        <v>1979</v>
      </c>
      <c r="I1023">
        <v>250</v>
      </c>
    </row>
    <row r="1024" spans="1:9" ht="15" customHeight="1" x14ac:dyDescent="0.15">
      <c r="A1024" s="6"/>
      <c r="D1024" t="s">
        <v>90</v>
      </c>
      <c r="E1024" t="str">
        <f>E776&amp;".247"</f>
        <v>15.247</v>
      </c>
      <c r="F1024" t="s">
        <v>2845</v>
      </c>
      <c r="G1024" t="s">
        <v>1979</v>
      </c>
      <c r="I1024">
        <v>210</v>
      </c>
    </row>
    <row r="1025" spans="1:9" ht="15" customHeight="1" x14ac:dyDescent="0.15">
      <c r="A1025" s="6"/>
      <c r="D1025" t="s">
        <v>90</v>
      </c>
      <c r="E1025" t="str">
        <f>E776&amp;".248"</f>
        <v>15.248</v>
      </c>
      <c r="F1025" t="s">
        <v>2846</v>
      </c>
      <c r="G1025" t="s">
        <v>1979</v>
      </c>
      <c r="I1025">
        <v>210</v>
      </c>
    </row>
    <row r="1026" spans="1:9" ht="15" customHeight="1" x14ac:dyDescent="0.15">
      <c r="A1026" s="6"/>
      <c r="D1026" t="s">
        <v>90</v>
      </c>
      <c r="E1026" t="str">
        <f>E776&amp;".249"</f>
        <v>15.249</v>
      </c>
      <c r="F1026" t="s">
        <v>2847</v>
      </c>
      <c r="G1026" t="s">
        <v>1979</v>
      </c>
      <c r="I1026">
        <v>210</v>
      </c>
    </row>
    <row r="1027" spans="1:9" ht="15" customHeight="1" x14ac:dyDescent="0.15">
      <c r="A1027" s="6"/>
      <c r="D1027" t="s">
        <v>90</v>
      </c>
      <c r="E1027" t="str">
        <f>E776&amp;".250"</f>
        <v>15.250</v>
      </c>
      <c r="F1027" t="s">
        <v>2848</v>
      </c>
      <c r="G1027" t="s">
        <v>1979</v>
      </c>
      <c r="I1027">
        <v>210</v>
      </c>
    </row>
    <row r="1028" spans="1:9" ht="15" customHeight="1" x14ac:dyDescent="0.15">
      <c r="A1028" s="6"/>
      <c r="D1028" t="s">
        <v>90</v>
      </c>
      <c r="E1028" t="str">
        <f>E776&amp;".251"</f>
        <v>15.251</v>
      </c>
      <c r="F1028" t="s">
        <v>2849</v>
      </c>
      <c r="G1028" t="s">
        <v>1979</v>
      </c>
      <c r="I1028">
        <v>210</v>
      </c>
    </row>
    <row r="1029" spans="1:9" ht="15" customHeight="1" x14ac:dyDescent="0.15">
      <c r="A1029" s="6"/>
      <c r="D1029" t="s">
        <v>90</v>
      </c>
      <c r="E1029" t="str">
        <f>E776&amp;".252"</f>
        <v>15.252</v>
      </c>
      <c r="F1029" t="s">
        <v>2850</v>
      </c>
      <c r="G1029" t="s">
        <v>1979</v>
      </c>
      <c r="I1029">
        <v>210</v>
      </c>
    </row>
    <row r="1030" spans="1:9" ht="15" customHeight="1" x14ac:dyDescent="0.15">
      <c r="A1030" s="6"/>
      <c r="D1030" t="s">
        <v>90</v>
      </c>
      <c r="E1030" t="str">
        <f>E776&amp;".253"</f>
        <v>15.253</v>
      </c>
      <c r="F1030" t="s">
        <v>2851</v>
      </c>
      <c r="G1030" t="s">
        <v>1979</v>
      </c>
      <c r="I1030">
        <v>210</v>
      </c>
    </row>
    <row r="1031" spans="1:9" ht="15" customHeight="1" x14ac:dyDescent="0.15">
      <c r="A1031" s="6"/>
      <c r="D1031" t="s">
        <v>90</v>
      </c>
      <c r="E1031" t="str">
        <f>E776&amp;".254"</f>
        <v>15.254</v>
      </c>
      <c r="F1031" t="s">
        <v>2852</v>
      </c>
      <c r="G1031" t="s">
        <v>1979</v>
      </c>
      <c r="I1031">
        <v>210</v>
      </c>
    </row>
    <row r="1032" spans="1:9" ht="15" customHeight="1" x14ac:dyDescent="0.15">
      <c r="A1032" s="6"/>
      <c r="D1032" t="s">
        <v>90</v>
      </c>
      <c r="E1032" t="str">
        <f>E776&amp;".255"</f>
        <v>15.255</v>
      </c>
      <c r="F1032" t="s">
        <v>2853</v>
      </c>
      <c r="G1032" t="s">
        <v>1979</v>
      </c>
      <c r="I1032">
        <v>210</v>
      </c>
    </row>
    <row r="1033" spans="1:9" ht="15" customHeight="1" x14ac:dyDescent="0.15">
      <c r="A1033" s="6"/>
      <c r="D1033" t="s">
        <v>90</v>
      </c>
      <c r="E1033" t="str">
        <f>E776&amp;".256"</f>
        <v>15.256</v>
      </c>
      <c r="F1033" t="s">
        <v>2854</v>
      </c>
      <c r="G1033" t="s">
        <v>1979</v>
      </c>
      <c r="I1033">
        <v>210</v>
      </c>
    </row>
    <row r="1034" spans="1:9" ht="15" customHeight="1" x14ac:dyDescent="0.15">
      <c r="A1034" s="6"/>
      <c r="D1034" t="s">
        <v>90</v>
      </c>
      <c r="E1034" t="str">
        <f>E776&amp;".257"</f>
        <v>15.257</v>
      </c>
      <c r="F1034" t="s">
        <v>2855</v>
      </c>
      <c r="G1034" t="s">
        <v>1979</v>
      </c>
      <c r="I1034">
        <v>210</v>
      </c>
    </row>
    <row r="1035" spans="1:9" ht="15" customHeight="1" x14ac:dyDescent="0.15">
      <c r="A1035" s="6"/>
      <c r="D1035" t="s">
        <v>90</v>
      </c>
      <c r="E1035" t="str">
        <f>E776&amp;".258"</f>
        <v>15.258</v>
      </c>
      <c r="F1035" t="s">
        <v>2856</v>
      </c>
      <c r="G1035" t="s">
        <v>1979</v>
      </c>
      <c r="I1035">
        <v>210</v>
      </c>
    </row>
    <row r="1036" spans="1:9" ht="15" customHeight="1" x14ac:dyDescent="0.15">
      <c r="A1036" s="6"/>
      <c r="D1036" t="s">
        <v>90</v>
      </c>
      <c r="E1036" t="str">
        <f>E776&amp;".259"</f>
        <v>15.259</v>
      </c>
      <c r="F1036" t="s">
        <v>2857</v>
      </c>
      <c r="G1036" t="s">
        <v>1979</v>
      </c>
      <c r="I1036">
        <v>210</v>
      </c>
    </row>
    <row r="1037" spans="1:9" ht="15" customHeight="1" x14ac:dyDescent="0.15">
      <c r="A1037" s="6"/>
      <c r="D1037" t="s">
        <v>90</v>
      </c>
      <c r="E1037" t="str">
        <f>E776&amp;".260"</f>
        <v>15.260</v>
      </c>
      <c r="F1037" t="s">
        <v>2858</v>
      </c>
      <c r="G1037" t="s">
        <v>1979</v>
      </c>
      <c r="I1037">
        <v>210</v>
      </c>
    </row>
    <row r="1038" spans="1:9" ht="15" customHeight="1" x14ac:dyDescent="0.15">
      <c r="A1038" s="6"/>
      <c r="D1038" t="s">
        <v>90</v>
      </c>
      <c r="E1038" t="str">
        <f>E776&amp;".261"</f>
        <v>15.261</v>
      </c>
      <c r="F1038" t="s">
        <v>2859</v>
      </c>
      <c r="G1038" t="s">
        <v>1979</v>
      </c>
      <c r="I1038">
        <v>210</v>
      </c>
    </row>
    <row r="1039" spans="1:9" ht="15" customHeight="1" x14ac:dyDescent="0.15">
      <c r="A1039" s="6"/>
      <c r="D1039" t="s">
        <v>90</v>
      </c>
      <c r="E1039" t="str">
        <f>E776&amp;".262"</f>
        <v>15.262</v>
      </c>
      <c r="F1039" t="s">
        <v>2860</v>
      </c>
      <c r="G1039" t="s">
        <v>1979</v>
      </c>
      <c r="I1039">
        <v>210</v>
      </c>
    </row>
    <row r="1040" spans="1:9" ht="15" customHeight="1" x14ac:dyDescent="0.15">
      <c r="A1040" s="6"/>
      <c r="D1040" t="s">
        <v>90</v>
      </c>
      <c r="E1040" t="str">
        <f>E776&amp;".263"</f>
        <v>15.263</v>
      </c>
      <c r="F1040" t="s">
        <v>2861</v>
      </c>
      <c r="G1040" t="s">
        <v>1979</v>
      </c>
      <c r="I1040">
        <v>210</v>
      </c>
    </row>
    <row r="1041" spans="1:9" ht="15" customHeight="1" x14ac:dyDescent="0.15">
      <c r="A1041" s="6"/>
      <c r="D1041" t="s">
        <v>90</v>
      </c>
      <c r="E1041" t="str">
        <f>E776&amp;".264"</f>
        <v>15.264</v>
      </c>
      <c r="F1041" t="s">
        <v>2862</v>
      </c>
      <c r="G1041" t="s">
        <v>1979</v>
      </c>
      <c r="I1041">
        <v>178</v>
      </c>
    </row>
    <row r="1042" spans="1:9" ht="15" customHeight="1" x14ac:dyDescent="0.15">
      <c r="A1042" s="6"/>
      <c r="D1042" t="s">
        <v>90</v>
      </c>
      <c r="E1042" t="str">
        <f>E776&amp;".265"</f>
        <v>15.265</v>
      </c>
      <c r="F1042" t="s">
        <v>2863</v>
      </c>
      <c r="G1042" t="s">
        <v>1979</v>
      </c>
      <c r="I1042">
        <v>255</v>
      </c>
    </row>
    <row r="1043" spans="1:9" ht="15" customHeight="1" x14ac:dyDescent="0.15">
      <c r="A1043" s="6"/>
      <c r="D1043" t="s">
        <v>90</v>
      </c>
      <c r="E1043" t="str">
        <f>E776&amp;".266"</f>
        <v>15.266</v>
      </c>
      <c r="F1043" t="s">
        <v>2864</v>
      </c>
      <c r="G1043" t="s">
        <v>1979</v>
      </c>
      <c r="I1043">
        <v>192.9</v>
      </c>
    </row>
    <row r="1044" spans="1:9" ht="15" customHeight="1" x14ac:dyDescent="0.15">
      <c r="A1044" s="6"/>
      <c r="D1044" t="s">
        <v>90</v>
      </c>
      <c r="E1044" t="str">
        <f>E776&amp;".267"</f>
        <v>15.267</v>
      </c>
      <c r="F1044" t="s">
        <v>2865</v>
      </c>
      <c r="G1044" t="s">
        <v>1979</v>
      </c>
      <c r="I1044">
        <v>206.28200000000001</v>
      </c>
    </row>
    <row r="1045" spans="1:9" ht="15" customHeight="1" x14ac:dyDescent="0.15">
      <c r="A1045" s="6"/>
      <c r="D1045" t="s">
        <v>90</v>
      </c>
      <c r="E1045" t="str">
        <f>E776&amp;".268"</f>
        <v>15.268</v>
      </c>
      <c r="F1045" t="s">
        <v>2866</v>
      </c>
      <c r="G1045" t="s">
        <v>1979</v>
      </c>
      <c r="I1045">
        <v>171.50700000000001</v>
      </c>
    </row>
    <row r="1046" spans="1:9" ht="15" customHeight="1" x14ac:dyDescent="0.15">
      <c r="A1046" s="6"/>
      <c r="D1046" t="s">
        <v>90</v>
      </c>
      <c r="E1046" t="str">
        <f>E776&amp;".269"</f>
        <v>15.269</v>
      </c>
      <c r="F1046" t="s">
        <v>2867</v>
      </c>
      <c r="G1046" t="s">
        <v>1979</v>
      </c>
      <c r="I1046">
        <v>238</v>
      </c>
    </row>
    <row r="1047" spans="1:9" ht="15" customHeight="1" x14ac:dyDescent="0.15">
      <c r="A1047" s="6"/>
      <c r="D1047" t="s">
        <v>90</v>
      </c>
      <c r="E1047" t="str">
        <f>E776&amp;".270"</f>
        <v>15.270</v>
      </c>
      <c r="F1047" t="s">
        <v>2868</v>
      </c>
      <c r="G1047" t="s">
        <v>1979</v>
      </c>
      <c r="I1047">
        <v>270.82600000000002</v>
      </c>
    </row>
    <row r="1048" spans="1:9" ht="15" customHeight="1" x14ac:dyDescent="0.15">
      <c r="A1048" s="6"/>
      <c r="D1048" t="s">
        <v>90</v>
      </c>
      <c r="E1048" t="str">
        <f>E776&amp;".271"</f>
        <v>15.271</v>
      </c>
      <c r="F1048" t="s">
        <v>2869</v>
      </c>
      <c r="G1048" t="s">
        <v>1979</v>
      </c>
      <c r="I1048">
        <v>263.983</v>
      </c>
    </row>
    <row r="1049" spans="1:9" ht="15" customHeight="1" x14ac:dyDescent="0.15">
      <c r="A1049" s="6"/>
      <c r="D1049" t="s">
        <v>90</v>
      </c>
      <c r="E1049" t="str">
        <f>E776&amp;".272"</f>
        <v>15.272</v>
      </c>
      <c r="F1049" t="s">
        <v>2870</v>
      </c>
      <c r="G1049" t="s">
        <v>1979</v>
      </c>
      <c r="I1049">
        <v>215.25200000000001</v>
      </c>
    </row>
    <row r="1050" spans="1:9" ht="15" customHeight="1" x14ac:dyDescent="0.15">
      <c r="A1050" s="6"/>
      <c r="D1050" t="s">
        <v>90</v>
      </c>
      <c r="E1050" t="str">
        <f>E776&amp;".273"</f>
        <v>15.273</v>
      </c>
      <c r="F1050" t="s">
        <v>2871</v>
      </c>
      <c r="G1050" t="s">
        <v>1979</v>
      </c>
      <c r="I1050">
        <v>190</v>
      </c>
    </row>
    <row r="1051" spans="1:9" ht="15" customHeight="1" x14ac:dyDescent="0.15">
      <c r="A1051" s="6"/>
      <c r="D1051" t="s">
        <v>90</v>
      </c>
      <c r="E1051" t="str">
        <f>E776&amp;".274"</f>
        <v>15.274</v>
      </c>
      <c r="F1051" t="s">
        <v>2872</v>
      </c>
      <c r="G1051" t="s">
        <v>1979</v>
      </c>
      <c r="I1051">
        <v>210</v>
      </c>
    </row>
    <row r="1052" spans="1:9" ht="15" customHeight="1" x14ac:dyDescent="0.15">
      <c r="A1052" s="6"/>
      <c r="D1052" t="s">
        <v>90</v>
      </c>
      <c r="E1052" t="str">
        <f>E776&amp;".275"</f>
        <v>15.275</v>
      </c>
      <c r="F1052" t="s">
        <v>2873</v>
      </c>
      <c r="G1052" t="s">
        <v>1979</v>
      </c>
      <c r="I1052">
        <v>210</v>
      </c>
    </row>
    <row r="1053" spans="1:9" ht="15" customHeight="1" x14ac:dyDescent="0.15">
      <c r="A1053" s="6"/>
      <c r="D1053" t="s">
        <v>90</v>
      </c>
      <c r="E1053" t="str">
        <f>E776&amp;".276"</f>
        <v>15.276</v>
      </c>
      <c r="F1053" t="s">
        <v>2874</v>
      </c>
      <c r="G1053" t="s">
        <v>1979</v>
      </c>
      <c r="I1053">
        <v>210</v>
      </c>
    </row>
    <row r="1054" spans="1:9" ht="15" customHeight="1" x14ac:dyDescent="0.15">
      <c r="A1054" s="6"/>
      <c r="D1054" t="s">
        <v>90</v>
      </c>
      <c r="E1054" t="str">
        <f>E776&amp;".277"</f>
        <v>15.277</v>
      </c>
      <c r="F1054" t="s">
        <v>2875</v>
      </c>
      <c r="G1054" t="s">
        <v>1979</v>
      </c>
      <c r="I1054">
        <v>210</v>
      </c>
    </row>
    <row r="1055" spans="1:9" ht="15" customHeight="1" x14ac:dyDescent="0.15">
      <c r="A1055" s="6"/>
      <c r="D1055" t="s">
        <v>90</v>
      </c>
      <c r="E1055" t="str">
        <f>E776&amp;".278"</f>
        <v>15.278</v>
      </c>
      <c r="F1055" t="s">
        <v>2876</v>
      </c>
      <c r="G1055" t="s">
        <v>1979</v>
      </c>
      <c r="I1055">
        <v>210</v>
      </c>
    </row>
    <row r="1056" spans="1:9" ht="15" customHeight="1" x14ac:dyDescent="0.15">
      <c r="A1056" s="6"/>
      <c r="D1056" t="s">
        <v>90</v>
      </c>
      <c r="E1056" t="str">
        <f>E776&amp;".279"</f>
        <v>15.279</v>
      </c>
      <c r="F1056" t="s">
        <v>2877</v>
      </c>
      <c r="G1056" t="s">
        <v>1979</v>
      </c>
      <c r="I1056">
        <v>210</v>
      </c>
    </row>
    <row r="1057" spans="1:9" ht="15" customHeight="1" x14ac:dyDescent="0.15">
      <c r="A1057" s="6"/>
      <c r="D1057" t="s">
        <v>90</v>
      </c>
      <c r="E1057" t="str">
        <f>E776&amp;".280"</f>
        <v>15.280</v>
      </c>
      <c r="F1057" t="s">
        <v>2878</v>
      </c>
      <c r="G1057" t="s">
        <v>1979</v>
      </c>
      <c r="I1057">
        <v>210</v>
      </c>
    </row>
    <row r="1058" spans="1:9" ht="15" customHeight="1" x14ac:dyDescent="0.15">
      <c r="A1058" s="6"/>
      <c r="D1058" t="s">
        <v>90</v>
      </c>
      <c r="E1058" t="str">
        <f>E776&amp;".281"</f>
        <v>15.281</v>
      </c>
      <c r="F1058" t="s">
        <v>2879</v>
      </c>
      <c r="G1058" t="s">
        <v>1979</v>
      </c>
      <c r="I1058">
        <v>210</v>
      </c>
    </row>
    <row r="1059" spans="1:9" ht="15" customHeight="1" x14ac:dyDescent="0.15">
      <c r="A1059" s="6"/>
      <c r="D1059" t="s">
        <v>90</v>
      </c>
      <c r="E1059" t="str">
        <f>E776&amp;".282"</f>
        <v>15.282</v>
      </c>
      <c r="F1059" t="s">
        <v>2880</v>
      </c>
      <c r="G1059" t="s">
        <v>1979</v>
      </c>
      <c r="I1059">
        <v>210</v>
      </c>
    </row>
    <row r="1060" spans="1:9" ht="15" customHeight="1" x14ac:dyDescent="0.15">
      <c r="A1060" s="6"/>
      <c r="D1060" t="s">
        <v>90</v>
      </c>
      <c r="E1060" t="str">
        <f>E776&amp;".283"</f>
        <v>15.283</v>
      </c>
      <c r="F1060" t="s">
        <v>2881</v>
      </c>
      <c r="G1060" t="s">
        <v>1979</v>
      </c>
      <c r="I1060">
        <v>210</v>
      </c>
    </row>
    <row r="1061" spans="1:9" ht="15" customHeight="1" x14ac:dyDescent="0.15">
      <c r="A1061" s="6"/>
      <c r="D1061" t="s">
        <v>90</v>
      </c>
      <c r="E1061" t="str">
        <f>E776&amp;".284"</f>
        <v>15.284</v>
      </c>
      <c r="F1061" t="s">
        <v>2882</v>
      </c>
      <c r="G1061" t="s">
        <v>1979</v>
      </c>
      <c r="I1061">
        <v>210</v>
      </c>
    </row>
    <row r="1062" spans="1:9" ht="15" customHeight="1" x14ac:dyDescent="0.15">
      <c r="A1062" s="6"/>
      <c r="D1062" t="s">
        <v>90</v>
      </c>
      <c r="E1062" t="str">
        <f>E776&amp;".285"</f>
        <v>15.285</v>
      </c>
      <c r="F1062" t="s">
        <v>2883</v>
      </c>
      <c r="G1062" t="s">
        <v>1979</v>
      </c>
      <c r="I1062">
        <v>210</v>
      </c>
    </row>
    <row r="1063" spans="1:9" ht="15" customHeight="1" x14ac:dyDescent="0.15">
      <c r="A1063" s="6"/>
      <c r="D1063" t="s">
        <v>90</v>
      </c>
      <c r="E1063" t="str">
        <f>E776&amp;".286"</f>
        <v>15.286</v>
      </c>
      <c r="F1063" t="s">
        <v>2884</v>
      </c>
      <c r="G1063" t="s">
        <v>1979</v>
      </c>
      <c r="I1063">
        <v>210</v>
      </c>
    </row>
    <row r="1064" spans="1:9" ht="15" customHeight="1" x14ac:dyDescent="0.15">
      <c r="A1064" s="6"/>
      <c r="D1064" t="s">
        <v>90</v>
      </c>
      <c r="E1064" t="str">
        <f>E776&amp;".287"</f>
        <v>15.287</v>
      </c>
      <c r="F1064" t="s">
        <v>2885</v>
      </c>
      <c r="G1064" t="s">
        <v>1979</v>
      </c>
      <c r="I1064">
        <v>210</v>
      </c>
    </row>
    <row r="1065" spans="1:9" ht="15" customHeight="1" x14ac:dyDescent="0.15">
      <c r="A1065" s="6"/>
      <c r="D1065" t="s">
        <v>90</v>
      </c>
      <c r="E1065" t="str">
        <f>E776&amp;".288"</f>
        <v>15.288</v>
      </c>
      <c r="F1065" t="s">
        <v>2886</v>
      </c>
      <c r="G1065" t="s">
        <v>1979</v>
      </c>
      <c r="I1065">
        <v>210</v>
      </c>
    </row>
    <row r="1066" spans="1:9" ht="15" customHeight="1" x14ac:dyDescent="0.15">
      <c r="A1066" s="6"/>
      <c r="D1066" t="s">
        <v>90</v>
      </c>
      <c r="E1066" t="str">
        <f>E776&amp;".289"</f>
        <v>15.289</v>
      </c>
      <c r="F1066" t="s">
        <v>2887</v>
      </c>
      <c r="G1066" t="s">
        <v>1979</v>
      </c>
      <c r="I1066">
        <v>210</v>
      </c>
    </row>
    <row r="1067" spans="1:9" ht="15" customHeight="1" x14ac:dyDescent="0.15">
      <c r="A1067" s="6"/>
      <c r="D1067" t="s">
        <v>90</v>
      </c>
      <c r="E1067" t="str">
        <f>E776&amp;".290"</f>
        <v>15.290</v>
      </c>
      <c r="F1067" t="s">
        <v>2888</v>
      </c>
      <c r="G1067" t="s">
        <v>1979</v>
      </c>
      <c r="I1067">
        <v>210</v>
      </c>
    </row>
    <row r="1068" spans="1:9" ht="15" customHeight="1" x14ac:dyDescent="0.15">
      <c r="A1068" s="6"/>
      <c r="D1068" t="s">
        <v>90</v>
      </c>
      <c r="E1068" t="str">
        <f>E776&amp;".291"</f>
        <v>15.291</v>
      </c>
      <c r="F1068" t="s">
        <v>2889</v>
      </c>
      <c r="G1068" t="s">
        <v>1979</v>
      </c>
      <c r="I1068">
        <v>242.28700000000001</v>
      </c>
    </row>
    <row r="1069" spans="1:9" ht="15" customHeight="1" x14ac:dyDescent="0.15">
      <c r="A1069" s="6"/>
      <c r="D1069" t="s">
        <v>90</v>
      </c>
      <c r="E1069" t="str">
        <f>E776&amp;".292"</f>
        <v>15.292</v>
      </c>
      <c r="F1069" t="s">
        <v>2890</v>
      </c>
      <c r="G1069" t="s">
        <v>1979</v>
      </c>
      <c r="I1069">
        <v>253.20599999999999</v>
      </c>
    </row>
    <row r="1070" spans="1:9" ht="15" customHeight="1" x14ac:dyDescent="0.15">
      <c r="A1070" s="6"/>
      <c r="D1070" t="s">
        <v>90</v>
      </c>
      <c r="E1070" t="str">
        <f>E776&amp;".293"</f>
        <v>15.293</v>
      </c>
      <c r="F1070" t="s">
        <v>2891</v>
      </c>
      <c r="G1070" t="s">
        <v>1979</v>
      </c>
      <c r="I1070">
        <v>230</v>
      </c>
    </row>
    <row r="1071" spans="1:9" ht="15" customHeight="1" x14ac:dyDescent="0.15">
      <c r="A1071" s="6"/>
      <c r="D1071" t="s">
        <v>90</v>
      </c>
      <c r="E1071" t="str">
        <f>E776&amp;".294"</f>
        <v>15.294</v>
      </c>
      <c r="F1071" t="s">
        <v>2892</v>
      </c>
      <c r="G1071" t="s">
        <v>1979</v>
      </c>
      <c r="I1071">
        <v>235</v>
      </c>
    </row>
    <row r="1072" spans="1:9" ht="15" customHeight="1" x14ac:dyDescent="0.15">
      <c r="A1072" s="6"/>
      <c r="D1072" t="s">
        <v>90</v>
      </c>
      <c r="E1072" t="str">
        <f>E776&amp;".295"</f>
        <v>15.295</v>
      </c>
      <c r="F1072" t="s">
        <v>2893</v>
      </c>
      <c r="G1072" t="s">
        <v>1979</v>
      </c>
      <c r="I1072">
        <v>240.411</v>
      </c>
    </row>
    <row r="1073" spans="1:9" ht="15" customHeight="1" x14ac:dyDescent="0.15">
      <c r="A1073" s="6"/>
      <c r="D1073" t="s">
        <v>90</v>
      </c>
      <c r="E1073" t="str">
        <f>E776&amp;".296"</f>
        <v>15.296</v>
      </c>
      <c r="F1073" t="s">
        <v>2894</v>
      </c>
      <c r="G1073" t="s">
        <v>1979</v>
      </c>
      <c r="I1073">
        <v>236.83099999999999</v>
      </c>
    </row>
    <row r="1074" spans="1:9" ht="15" customHeight="1" x14ac:dyDescent="0.15">
      <c r="A1074" s="6"/>
      <c r="D1074" t="s">
        <v>90</v>
      </c>
      <c r="E1074" t="str">
        <f>E776&amp;".297"</f>
        <v>15.297</v>
      </c>
      <c r="F1074" t="s">
        <v>2895</v>
      </c>
      <c r="G1074" t="s">
        <v>1979</v>
      </c>
      <c r="I1074">
        <v>235</v>
      </c>
    </row>
    <row r="1075" spans="1:9" ht="15" customHeight="1" x14ac:dyDescent="0.15">
      <c r="A1075" s="6"/>
      <c r="D1075" t="s">
        <v>90</v>
      </c>
      <c r="E1075" t="str">
        <f>E776&amp;".298"</f>
        <v>15.298</v>
      </c>
      <c r="F1075" t="s">
        <v>2896</v>
      </c>
      <c r="G1075" t="s">
        <v>1979</v>
      </c>
      <c r="I1075">
        <v>276.26799999999997</v>
      </c>
    </row>
    <row r="1076" spans="1:9" ht="15" customHeight="1" x14ac:dyDescent="0.15">
      <c r="A1076" s="6"/>
      <c r="D1076" t="s">
        <v>90</v>
      </c>
      <c r="E1076" t="str">
        <f>E776&amp;".299"</f>
        <v>15.299</v>
      </c>
      <c r="F1076" t="s">
        <v>2897</v>
      </c>
      <c r="G1076" t="s">
        <v>1979</v>
      </c>
      <c r="I1076">
        <v>249</v>
      </c>
    </row>
    <row r="1077" spans="1:9" ht="15" customHeight="1" x14ac:dyDescent="0.15">
      <c r="A1077" s="6"/>
      <c r="D1077" t="s">
        <v>90</v>
      </c>
      <c r="E1077" t="str">
        <f>E776&amp;".300"</f>
        <v>15.300</v>
      </c>
      <c r="F1077" t="s">
        <v>2898</v>
      </c>
      <c r="G1077" t="s">
        <v>1979</v>
      </c>
      <c r="I1077">
        <v>193.10900000000001</v>
      </c>
    </row>
    <row r="1078" spans="1:9" ht="15" customHeight="1" x14ac:dyDescent="0.15">
      <c r="A1078" s="6"/>
      <c r="D1078" t="s">
        <v>90</v>
      </c>
      <c r="E1078" t="str">
        <f>E776&amp;".301"</f>
        <v>15.301</v>
      </c>
      <c r="F1078" t="s">
        <v>2899</v>
      </c>
      <c r="G1078" t="s">
        <v>1979</v>
      </c>
      <c r="I1078">
        <v>164.10599999999999</v>
      </c>
    </row>
    <row r="1079" spans="1:9" ht="15" customHeight="1" x14ac:dyDescent="0.15">
      <c r="A1079" s="6"/>
      <c r="D1079" t="s">
        <v>90</v>
      </c>
      <c r="E1079" t="str">
        <f>E776&amp;".302"</f>
        <v>15.302</v>
      </c>
      <c r="F1079" t="s">
        <v>2900</v>
      </c>
      <c r="G1079" t="s">
        <v>1979</v>
      </c>
      <c r="I1079">
        <v>199.06399999999999</v>
      </c>
    </row>
    <row r="1080" spans="1:9" ht="15" customHeight="1" x14ac:dyDescent="0.15">
      <c r="A1080" s="6"/>
      <c r="D1080" t="s">
        <v>90</v>
      </c>
      <c r="E1080" t="str">
        <f>E776&amp;".303"</f>
        <v>15.303</v>
      </c>
      <c r="F1080" t="s">
        <v>2901</v>
      </c>
      <c r="G1080" t="s">
        <v>1979</v>
      </c>
      <c r="I1080">
        <v>280</v>
      </c>
    </row>
    <row r="1081" spans="1:9" ht="15" customHeight="1" x14ac:dyDescent="0.15">
      <c r="A1081" s="6"/>
      <c r="D1081" t="s">
        <v>90</v>
      </c>
      <c r="E1081" t="str">
        <f>E776&amp;".304"</f>
        <v>15.304</v>
      </c>
      <c r="F1081" t="s">
        <v>2902</v>
      </c>
      <c r="G1081" t="s">
        <v>1979</v>
      </c>
      <c r="I1081">
        <v>171.56700000000001</v>
      </c>
    </row>
    <row r="1082" spans="1:9" ht="15" customHeight="1" x14ac:dyDescent="0.15">
      <c r="A1082" s="6"/>
      <c r="D1082" t="s">
        <v>90</v>
      </c>
      <c r="E1082" t="str">
        <f>E776&amp;".305"</f>
        <v>15.305</v>
      </c>
      <c r="F1082" t="s">
        <v>2903</v>
      </c>
      <c r="G1082" t="s">
        <v>1979</v>
      </c>
      <c r="I1082">
        <v>230</v>
      </c>
    </row>
    <row r="1083" spans="1:9" ht="15" customHeight="1" x14ac:dyDescent="0.15">
      <c r="A1083" s="6"/>
      <c r="D1083" t="s">
        <v>90</v>
      </c>
      <c r="E1083" t="str">
        <f>E776&amp;".306"</f>
        <v>15.306</v>
      </c>
      <c r="F1083" t="s">
        <v>2904</v>
      </c>
      <c r="G1083" t="s">
        <v>1979</v>
      </c>
      <c r="I1083">
        <v>235</v>
      </c>
    </row>
    <row r="1084" spans="1:9" ht="15" customHeight="1" x14ac:dyDescent="0.15">
      <c r="A1084" s="6"/>
      <c r="D1084" t="s">
        <v>90</v>
      </c>
      <c r="E1084" t="str">
        <f>E776&amp;".307"</f>
        <v>15.307</v>
      </c>
      <c r="F1084" t="s">
        <v>2905</v>
      </c>
      <c r="G1084" t="s">
        <v>1979</v>
      </c>
      <c r="I1084">
        <v>0</v>
      </c>
    </row>
    <row r="1085" spans="1:9" ht="15" customHeight="1" x14ac:dyDescent="0.15">
      <c r="A1085" s="6"/>
      <c r="D1085" t="s">
        <v>90</v>
      </c>
      <c r="E1085" t="str">
        <f>E776&amp;".308"</f>
        <v>15.308</v>
      </c>
      <c r="F1085" t="s">
        <v>2906</v>
      </c>
      <c r="G1085" t="s">
        <v>1979</v>
      </c>
      <c r="I1085">
        <v>265.84800000000001</v>
      </c>
    </row>
    <row r="1086" spans="1:9" ht="15" customHeight="1" x14ac:dyDescent="0.15">
      <c r="A1086" s="6"/>
      <c r="D1086" t="s">
        <v>90</v>
      </c>
      <c r="E1086" t="str">
        <f>E776&amp;".309"</f>
        <v>15.309</v>
      </c>
      <c r="F1086" t="s">
        <v>2907</v>
      </c>
      <c r="G1086" t="s">
        <v>1979</v>
      </c>
      <c r="I1086">
        <v>255</v>
      </c>
    </row>
    <row r="1087" spans="1:9" ht="15" customHeight="1" x14ac:dyDescent="0.15">
      <c r="A1087" s="6"/>
      <c r="D1087" t="s">
        <v>90</v>
      </c>
      <c r="E1087" t="str">
        <f>E776&amp;".310"</f>
        <v>15.310</v>
      </c>
      <c r="F1087" t="s">
        <v>2908</v>
      </c>
      <c r="G1087" t="s">
        <v>1979</v>
      </c>
      <c r="I1087">
        <v>248.15100000000001</v>
      </c>
    </row>
    <row r="1088" spans="1:9" ht="15" customHeight="1" x14ac:dyDescent="0.15">
      <c r="A1088" s="6"/>
      <c r="D1088" t="s">
        <v>90</v>
      </c>
      <c r="E1088" t="str">
        <f>E776&amp;".311"</f>
        <v>15.311</v>
      </c>
      <c r="F1088" t="s">
        <v>2909</v>
      </c>
      <c r="G1088" t="s">
        <v>1979</v>
      </c>
      <c r="I1088">
        <v>251.40899999999999</v>
      </c>
    </row>
    <row r="1089" spans="1:9" ht="15" customHeight="1" x14ac:dyDescent="0.15">
      <c r="A1089" s="6"/>
      <c r="D1089" t="s">
        <v>90</v>
      </c>
      <c r="E1089" t="str">
        <f>E776&amp;".312"</f>
        <v>15.312</v>
      </c>
      <c r="F1089" t="s">
        <v>2239</v>
      </c>
      <c r="G1089" t="s">
        <v>1979</v>
      </c>
      <c r="I1089">
        <v>255</v>
      </c>
    </row>
    <row r="1090" spans="1:9" ht="15" customHeight="1" x14ac:dyDescent="0.15">
      <c r="A1090" s="6"/>
      <c r="D1090" t="s">
        <v>90</v>
      </c>
      <c r="E1090" t="str">
        <f>E776&amp;".313"</f>
        <v>15.313</v>
      </c>
      <c r="F1090" t="s">
        <v>2910</v>
      </c>
      <c r="G1090" t="s">
        <v>1979</v>
      </c>
      <c r="I1090">
        <v>237.77699999999999</v>
      </c>
    </row>
    <row r="1091" spans="1:9" ht="15" customHeight="1" x14ac:dyDescent="0.15">
      <c r="A1091" s="6"/>
      <c r="D1091" t="s">
        <v>90</v>
      </c>
      <c r="E1091" t="str">
        <f>E776&amp;".314"</f>
        <v>15.314</v>
      </c>
      <c r="F1091" t="s">
        <v>2911</v>
      </c>
      <c r="G1091" t="s">
        <v>1979</v>
      </c>
      <c r="I1091">
        <v>235.61199999999999</v>
      </c>
    </row>
    <row r="1092" spans="1:9" ht="15" customHeight="1" x14ac:dyDescent="0.15">
      <c r="A1092" s="6"/>
      <c r="D1092" t="s">
        <v>90</v>
      </c>
      <c r="E1092" t="str">
        <f>E776&amp;".315"</f>
        <v>15.315</v>
      </c>
      <c r="F1092" t="s">
        <v>2912</v>
      </c>
      <c r="G1092" t="s">
        <v>1979</v>
      </c>
      <c r="I1092">
        <v>238.80199999999999</v>
      </c>
    </row>
    <row r="1093" spans="1:9" ht="15" customHeight="1" x14ac:dyDescent="0.15">
      <c r="A1093" s="6"/>
      <c r="D1093" t="s">
        <v>90</v>
      </c>
      <c r="E1093" t="str">
        <f>E776&amp;".316"</f>
        <v>15.316</v>
      </c>
      <c r="F1093" t="s">
        <v>2913</v>
      </c>
      <c r="G1093" t="s">
        <v>1979</v>
      </c>
      <c r="I1093">
        <v>251.69900000000001</v>
      </c>
    </row>
    <row r="1094" spans="1:9" ht="15" customHeight="1" x14ac:dyDescent="0.15">
      <c r="A1094" s="6"/>
      <c r="D1094" t="s">
        <v>90</v>
      </c>
      <c r="E1094" t="str">
        <f>E776&amp;".317"</f>
        <v>15.317</v>
      </c>
      <c r="F1094" t="s">
        <v>2914</v>
      </c>
      <c r="G1094" t="s">
        <v>1979</v>
      </c>
      <c r="I1094">
        <v>173.4</v>
      </c>
    </row>
    <row r="1095" spans="1:9" ht="15" customHeight="1" x14ac:dyDescent="0.15">
      <c r="A1095" s="6"/>
      <c r="D1095" t="s">
        <v>90</v>
      </c>
      <c r="E1095" t="str">
        <f>E776&amp;".318"</f>
        <v>15.318</v>
      </c>
      <c r="F1095" t="s">
        <v>2915</v>
      </c>
      <c r="G1095" t="s">
        <v>1979</v>
      </c>
      <c r="I1095">
        <v>238.64500000000001</v>
      </c>
    </row>
    <row r="1096" spans="1:9" ht="15" customHeight="1" x14ac:dyDescent="0.15">
      <c r="A1096" s="6"/>
      <c r="D1096" t="s">
        <v>90</v>
      </c>
      <c r="E1096" t="str">
        <f>E776&amp;".319"</f>
        <v>15.319</v>
      </c>
      <c r="F1096" t="s">
        <v>2916</v>
      </c>
      <c r="G1096" t="s">
        <v>1979</v>
      </c>
      <c r="I1096">
        <v>238.33699999999999</v>
      </c>
    </row>
    <row r="1097" spans="1:9" ht="15" customHeight="1" x14ac:dyDescent="0.15">
      <c r="A1097" s="6"/>
      <c r="D1097" t="s">
        <v>90</v>
      </c>
      <c r="E1097" t="str">
        <f>E776&amp;".320"</f>
        <v>15.320</v>
      </c>
      <c r="F1097" t="s">
        <v>2917</v>
      </c>
      <c r="G1097" t="s">
        <v>1979</v>
      </c>
      <c r="I1097">
        <v>210</v>
      </c>
    </row>
    <row r="1098" spans="1:9" ht="15" customHeight="1" x14ac:dyDescent="0.15">
      <c r="A1098" s="6"/>
      <c r="D1098" t="s">
        <v>90</v>
      </c>
      <c r="E1098" t="str">
        <f>E776&amp;".321"</f>
        <v>15.321</v>
      </c>
      <c r="F1098" t="s">
        <v>2918</v>
      </c>
      <c r="G1098" t="s">
        <v>1979</v>
      </c>
      <c r="I1098">
        <v>210</v>
      </c>
    </row>
    <row r="1099" spans="1:9" ht="15" customHeight="1" x14ac:dyDescent="0.15">
      <c r="A1099" s="6"/>
      <c r="D1099" t="s">
        <v>90</v>
      </c>
      <c r="E1099" t="str">
        <f>E776&amp;".322"</f>
        <v>15.322</v>
      </c>
      <c r="F1099" t="s">
        <v>2919</v>
      </c>
      <c r="G1099" t="s">
        <v>1979</v>
      </c>
      <c r="I1099">
        <v>210</v>
      </c>
    </row>
    <row r="1100" spans="1:9" ht="15" customHeight="1" x14ac:dyDescent="0.15">
      <c r="A1100" s="6"/>
      <c r="D1100" t="s">
        <v>90</v>
      </c>
      <c r="E1100" t="str">
        <f>E776&amp;".323"</f>
        <v>15.323</v>
      </c>
      <c r="F1100" t="s">
        <v>2265</v>
      </c>
      <c r="G1100" t="s">
        <v>1979</v>
      </c>
      <c r="I1100">
        <v>210</v>
      </c>
    </row>
    <row r="1101" spans="1:9" ht="15" customHeight="1" x14ac:dyDescent="0.15">
      <c r="A1101" s="6"/>
      <c r="D1101" t="s">
        <v>90</v>
      </c>
      <c r="E1101" t="str">
        <f>E776&amp;".324"</f>
        <v>15.324</v>
      </c>
      <c r="F1101" t="s">
        <v>2920</v>
      </c>
      <c r="G1101" t="s">
        <v>1979</v>
      </c>
      <c r="I1101">
        <v>210</v>
      </c>
    </row>
    <row r="1102" spans="1:9" ht="15" customHeight="1" x14ac:dyDescent="0.15">
      <c r="A1102" s="6"/>
      <c r="D1102" t="s">
        <v>90</v>
      </c>
      <c r="E1102" t="str">
        <f>E776&amp;".325"</f>
        <v>15.325</v>
      </c>
      <c r="F1102" t="s">
        <v>2921</v>
      </c>
      <c r="G1102" t="s">
        <v>1979</v>
      </c>
      <c r="I1102">
        <v>210</v>
      </c>
    </row>
    <row r="1103" spans="1:9" ht="15" customHeight="1" x14ac:dyDescent="0.15">
      <c r="A1103" s="6"/>
      <c r="D1103" t="s">
        <v>90</v>
      </c>
      <c r="E1103" t="str">
        <f>E776&amp;".326"</f>
        <v>15.326</v>
      </c>
      <c r="F1103" t="s">
        <v>2922</v>
      </c>
      <c r="G1103" t="s">
        <v>1979</v>
      </c>
      <c r="I1103">
        <v>210</v>
      </c>
    </row>
    <row r="1104" spans="1:9" ht="15" customHeight="1" x14ac:dyDescent="0.15">
      <c r="A1104" s="6"/>
      <c r="D1104" t="s">
        <v>90</v>
      </c>
      <c r="E1104" t="str">
        <f>E776&amp;".327"</f>
        <v>15.327</v>
      </c>
      <c r="F1104" t="s">
        <v>2923</v>
      </c>
      <c r="G1104" t="s">
        <v>1979</v>
      </c>
      <c r="I1104">
        <v>210</v>
      </c>
    </row>
    <row r="1105" spans="1:9" ht="15" customHeight="1" x14ac:dyDescent="0.15">
      <c r="A1105" s="6"/>
      <c r="D1105" t="s">
        <v>90</v>
      </c>
      <c r="E1105" t="str">
        <f>E776&amp;".328"</f>
        <v>15.328</v>
      </c>
      <c r="F1105" t="s">
        <v>2924</v>
      </c>
      <c r="G1105" t="s">
        <v>1979</v>
      </c>
      <c r="I1105">
        <v>210</v>
      </c>
    </row>
    <row r="1106" spans="1:9" ht="15" customHeight="1" x14ac:dyDescent="0.15">
      <c r="A1106" s="6"/>
      <c r="D1106" t="s">
        <v>90</v>
      </c>
      <c r="E1106" t="str">
        <f>E776&amp;".329"</f>
        <v>15.329</v>
      </c>
      <c r="F1106" t="s">
        <v>2269</v>
      </c>
      <c r="G1106" t="s">
        <v>1979</v>
      </c>
      <c r="I1106">
        <v>210</v>
      </c>
    </row>
    <row r="1107" spans="1:9" ht="15" customHeight="1" x14ac:dyDescent="0.15">
      <c r="A1107" s="6"/>
      <c r="D1107" t="s">
        <v>90</v>
      </c>
      <c r="E1107" t="str">
        <f>E776&amp;".330"</f>
        <v>15.330</v>
      </c>
      <c r="F1107" t="s">
        <v>2257</v>
      </c>
      <c r="G1107" t="s">
        <v>1979</v>
      </c>
      <c r="I1107">
        <v>210</v>
      </c>
    </row>
    <row r="1108" spans="1:9" ht="15" customHeight="1" x14ac:dyDescent="0.15">
      <c r="A1108" s="6"/>
      <c r="D1108" t="s">
        <v>90</v>
      </c>
      <c r="E1108" t="str">
        <f>E776&amp;".331"</f>
        <v>15.331</v>
      </c>
      <c r="F1108" t="s">
        <v>2925</v>
      </c>
      <c r="G1108" t="s">
        <v>1979</v>
      </c>
      <c r="I1108">
        <v>210</v>
      </c>
    </row>
    <row r="1109" spans="1:9" ht="15" customHeight="1" x14ac:dyDescent="0.15">
      <c r="A1109" s="6"/>
      <c r="D1109" t="s">
        <v>90</v>
      </c>
      <c r="E1109" t="str">
        <f>E776&amp;".332"</f>
        <v>15.332</v>
      </c>
      <c r="F1109" t="s">
        <v>2926</v>
      </c>
      <c r="G1109" t="s">
        <v>1979</v>
      </c>
      <c r="I1109">
        <v>210</v>
      </c>
    </row>
    <row r="1110" spans="1:9" ht="15" customHeight="1" x14ac:dyDescent="0.15">
      <c r="A1110" s="6"/>
      <c r="D1110" t="s">
        <v>90</v>
      </c>
      <c r="E1110" t="str">
        <f>E776&amp;".333"</f>
        <v>15.333</v>
      </c>
      <c r="F1110" t="s">
        <v>2927</v>
      </c>
      <c r="G1110" t="s">
        <v>1979</v>
      </c>
      <c r="I1110">
        <v>210</v>
      </c>
    </row>
    <row r="1111" spans="1:9" ht="15" customHeight="1" x14ac:dyDescent="0.15">
      <c r="A1111" s="6"/>
      <c r="D1111" t="s">
        <v>90</v>
      </c>
      <c r="E1111" t="str">
        <f>E776&amp;".334"</f>
        <v>15.334</v>
      </c>
      <c r="F1111" t="s">
        <v>2928</v>
      </c>
      <c r="G1111" t="s">
        <v>1979</v>
      </c>
      <c r="I1111">
        <v>0</v>
      </c>
    </row>
    <row r="1112" spans="1:9" ht="15" customHeight="1" x14ac:dyDescent="0.15">
      <c r="A1112" s="6"/>
      <c r="D1112" t="s">
        <v>90</v>
      </c>
      <c r="E1112" t="str">
        <f>E776&amp;".335"</f>
        <v>15.335</v>
      </c>
      <c r="F1112" t="s">
        <v>2929</v>
      </c>
      <c r="G1112" t="s">
        <v>1979</v>
      </c>
      <c r="I1112">
        <v>174.96600000000001</v>
      </c>
    </row>
    <row r="1113" spans="1:9" ht="15" customHeight="1" x14ac:dyDescent="0.15">
      <c r="A1113" s="6"/>
      <c r="D1113" t="s">
        <v>90</v>
      </c>
      <c r="E1113" t="str">
        <f>E776&amp;".336"</f>
        <v>15.336</v>
      </c>
      <c r="F1113" t="s">
        <v>2930</v>
      </c>
      <c r="G1113" t="s">
        <v>1979</v>
      </c>
      <c r="I1113">
        <v>155.63499999999999</v>
      </c>
    </row>
    <row r="1114" spans="1:9" ht="15" customHeight="1" x14ac:dyDescent="0.15">
      <c r="A1114" s="6"/>
      <c r="D1114" t="s">
        <v>90</v>
      </c>
      <c r="E1114" t="str">
        <f>E776&amp;".337"</f>
        <v>15.337</v>
      </c>
      <c r="F1114" t="s">
        <v>2931</v>
      </c>
      <c r="G1114" t="s">
        <v>1979</v>
      </c>
      <c r="I1114">
        <v>268</v>
      </c>
    </row>
    <row r="1115" spans="1:9" ht="15" customHeight="1" x14ac:dyDescent="0.15">
      <c r="A1115" s="6"/>
      <c r="D1115" t="s">
        <v>90</v>
      </c>
      <c r="E1115" t="str">
        <f>E776&amp;".338"</f>
        <v>15.338</v>
      </c>
      <c r="F1115" t="s">
        <v>2932</v>
      </c>
      <c r="G1115" t="s">
        <v>1979</v>
      </c>
      <c r="I1115">
        <v>182.38200000000001</v>
      </c>
    </row>
    <row r="1116" spans="1:9" ht="15" customHeight="1" x14ac:dyDescent="0.15">
      <c r="A1116" s="6"/>
      <c r="D1116" t="s">
        <v>90</v>
      </c>
      <c r="E1116" t="str">
        <f>E776&amp;".339"</f>
        <v>15.339</v>
      </c>
      <c r="F1116" t="s">
        <v>2275</v>
      </c>
      <c r="G1116" t="s">
        <v>1979</v>
      </c>
      <c r="I1116">
        <v>268</v>
      </c>
    </row>
    <row r="1117" spans="1:9" ht="15" customHeight="1" x14ac:dyDescent="0.15">
      <c r="A1117" s="6"/>
      <c r="D1117" t="s">
        <v>90</v>
      </c>
      <c r="E1117" t="str">
        <f>E776&amp;".340"</f>
        <v>15.340</v>
      </c>
      <c r="F1117" t="s">
        <v>2262</v>
      </c>
      <c r="G1117" t="s">
        <v>1979</v>
      </c>
      <c r="I1117">
        <v>268</v>
      </c>
    </row>
    <row r="1118" spans="1:9" ht="15" customHeight="1" x14ac:dyDescent="0.15">
      <c r="A1118" s="6"/>
      <c r="D1118" t="s">
        <v>90</v>
      </c>
      <c r="E1118" t="str">
        <f>E776&amp;".341"</f>
        <v>15.341</v>
      </c>
      <c r="F1118" t="s">
        <v>2933</v>
      </c>
      <c r="G1118" t="s">
        <v>1979</v>
      </c>
      <c r="I1118">
        <v>268</v>
      </c>
    </row>
    <row r="1119" spans="1:9" ht="15" customHeight="1" x14ac:dyDescent="0.15">
      <c r="A1119" s="6"/>
      <c r="D1119" t="s">
        <v>90</v>
      </c>
      <c r="E1119" t="str">
        <f>E776&amp;".342"</f>
        <v>15.342</v>
      </c>
      <c r="F1119" t="s">
        <v>2934</v>
      </c>
      <c r="G1119" t="s">
        <v>1979</v>
      </c>
      <c r="I1119">
        <v>173.88399999999999</v>
      </c>
    </row>
    <row r="1120" spans="1:9" ht="15" customHeight="1" x14ac:dyDescent="0.15">
      <c r="A1120" s="6"/>
      <c r="D1120" t="s">
        <v>90</v>
      </c>
      <c r="E1120" t="str">
        <f>E776&amp;".343"</f>
        <v>15.343</v>
      </c>
      <c r="F1120" t="s">
        <v>2256</v>
      </c>
      <c r="G1120" t="s">
        <v>1979</v>
      </c>
      <c r="I1120">
        <v>199.56299999999999</v>
      </c>
    </row>
    <row r="1121" spans="1:9" ht="15" customHeight="1" x14ac:dyDescent="0.15">
      <c r="A1121" s="6"/>
      <c r="D1121" t="s">
        <v>90</v>
      </c>
      <c r="E1121" t="str">
        <f>E776&amp;".344"</f>
        <v>15.344</v>
      </c>
      <c r="F1121" t="s">
        <v>2270</v>
      </c>
      <c r="G1121" t="s">
        <v>1979</v>
      </c>
      <c r="I1121">
        <v>268</v>
      </c>
    </row>
    <row r="1122" spans="1:9" ht="15" customHeight="1" x14ac:dyDescent="0.15">
      <c r="A1122" s="6"/>
      <c r="D1122" t="s">
        <v>90</v>
      </c>
      <c r="E1122" t="str">
        <f>E776&amp;".345"</f>
        <v>15.345</v>
      </c>
      <c r="F1122" t="s">
        <v>2271</v>
      </c>
      <c r="G1122" t="s">
        <v>1979</v>
      </c>
      <c r="I1122">
        <v>268</v>
      </c>
    </row>
    <row r="1123" spans="1:9" ht="15" customHeight="1" x14ac:dyDescent="0.15">
      <c r="A1123" s="6"/>
      <c r="D1123" t="s">
        <v>90</v>
      </c>
      <c r="E1123" t="str">
        <f>E776&amp;".346"</f>
        <v>15.346</v>
      </c>
      <c r="F1123" t="s">
        <v>2935</v>
      </c>
      <c r="G1123" t="s">
        <v>1979</v>
      </c>
      <c r="I1123">
        <v>268</v>
      </c>
    </row>
    <row r="1124" spans="1:9" ht="15" customHeight="1" x14ac:dyDescent="0.15">
      <c r="A1124" s="6"/>
      <c r="D1124" t="s">
        <v>90</v>
      </c>
      <c r="E1124" t="str">
        <f>E776&amp;".347"</f>
        <v>15.347</v>
      </c>
      <c r="F1124" t="s">
        <v>2258</v>
      </c>
      <c r="G1124" t="s">
        <v>1979</v>
      </c>
      <c r="I1124">
        <v>180.06700000000001</v>
      </c>
    </row>
    <row r="1125" spans="1:9" ht="15" customHeight="1" x14ac:dyDescent="0.15">
      <c r="A1125" s="6"/>
      <c r="D1125" t="s">
        <v>90</v>
      </c>
      <c r="E1125" t="str">
        <f>E776&amp;".348"</f>
        <v>15.348</v>
      </c>
      <c r="F1125" t="s">
        <v>2259</v>
      </c>
      <c r="G1125" t="s">
        <v>1979</v>
      </c>
      <c r="I1125">
        <v>199.32</v>
      </c>
    </row>
    <row r="1126" spans="1:9" ht="15" customHeight="1" x14ac:dyDescent="0.15">
      <c r="A1126" s="6"/>
      <c r="D1126" t="s">
        <v>90</v>
      </c>
      <c r="E1126" t="str">
        <f>E776&amp;".349"</f>
        <v>15.349</v>
      </c>
      <c r="F1126" t="s">
        <v>2260</v>
      </c>
      <c r="G1126" t="s">
        <v>1979</v>
      </c>
      <c r="I1126">
        <v>192.11799999999999</v>
      </c>
    </row>
    <row r="1127" spans="1:9" ht="15" customHeight="1" x14ac:dyDescent="0.15">
      <c r="A1127" s="6"/>
      <c r="D1127" t="s">
        <v>90</v>
      </c>
      <c r="E1127" t="str">
        <f>E776&amp;".350"</f>
        <v>15.350</v>
      </c>
      <c r="F1127" t="s">
        <v>2936</v>
      </c>
      <c r="G1127" t="s">
        <v>1979</v>
      </c>
      <c r="I1127">
        <v>210</v>
      </c>
    </row>
    <row r="1128" spans="1:9" ht="15" customHeight="1" x14ac:dyDescent="0.15">
      <c r="A1128" s="6"/>
      <c r="D1128" t="s">
        <v>90</v>
      </c>
      <c r="E1128" t="str">
        <f>E776&amp;".351"</f>
        <v>15.351</v>
      </c>
      <c r="F1128" t="s">
        <v>2937</v>
      </c>
      <c r="G1128" t="s">
        <v>1979</v>
      </c>
      <c r="I1128">
        <v>0</v>
      </c>
    </row>
    <row r="1129" spans="1:9" ht="15" customHeight="1" x14ac:dyDescent="0.15">
      <c r="A1129" s="6"/>
      <c r="D1129" t="s">
        <v>90</v>
      </c>
      <c r="E1129" t="str">
        <f>E776&amp;".352"</f>
        <v>15.352</v>
      </c>
      <c r="F1129" t="s">
        <v>2938</v>
      </c>
      <c r="G1129" t="s">
        <v>1979</v>
      </c>
      <c r="I1129">
        <v>210</v>
      </c>
    </row>
    <row r="1130" spans="1:9" ht="15" customHeight="1" x14ac:dyDescent="0.15">
      <c r="A1130" s="6"/>
      <c r="D1130" t="s">
        <v>90</v>
      </c>
      <c r="E1130" t="str">
        <f>E776&amp;".353"</f>
        <v>15.353</v>
      </c>
      <c r="F1130" t="s">
        <v>2939</v>
      </c>
      <c r="G1130" t="s">
        <v>1979</v>
      </c>
      <c r="I1130">
        <v>227</v>
      </c>
    </row>
    <row r="1131" spans="1:9" ht="15" customHeight="1" x14ac:dyDescent="0.15">
      <c r="A1131" s="6"/>
      <c r="D1131" t="s">
        <v>90</v>
      </c>
      <c r="E1131" t="str">
        <f>E776&amp;".354"</f>
        <v>15.354</v>
      </c>
      <c r="F1131" t="s">
        <v>2940</v>
      </c>
      <c r="G1131" t="s">
        <v>1979</v>
      </c>
      <c r="I1131">
        <v>277.392</v>
      </c>
    </row>
    <row r="1132" spans="1:9" ht="15" customHeight="1" x14ac:dyDescent="0.15">
      <c r="A1132" s="6"/>
      <c r="D1132" t="s">
        <v>90</v>
      </c>
      <c r="E1132" t="str">
        <f>E776&amp;".355"</f>
        <v>15.355</v>
      </c>
      <c r="F1132" t="s">
        <v>2285</v>
      </c>
      <c r="G1132" t="s">
        <v>1979</v>
      </c>
      <c r="I1132">
        <v>265.29199999999997</v>
      </c>
    </row>
    <row r="1133" spans="1:9" ht="15" customHeight="1" x14ac:dyDescent="0.15">
      <c r="A1133" s="6"/>
      <c r="D1133" t="s">
        <v>90</v>
      </c>
      <c r="E1133" t="str">
        <f>E776&amp;".356"</f>
        <v>15.356</v>
      </c>
      <c r="F1133" t="s">
        <v>2286</v>
      </c>
      <c r="G1133" t="s">
        <v>1979</v>
      </c>
      <c r="I1133">
        <v>320</v>
      </c>
    </row>
    <row r="1134" spans="1:9" ht="15" customHeight="1" x14ac:dyDescent="0.15">
      <c r="A1134" s="6"/>
      <c r="D1134" t="s">
        <v>90</v>
      </c>
      <c r="E1134" t="str">
        <f>E776&amp;".357"</f>
        <v>15.357</v>
      </c>
      <c r="F1134" t="s">
        <v>2288</v>
      </c>
      <c r="G1134" t="s">
        <v>1979</v>
      </c>
      <c r="I1134">
        <v>227.51</v>
      </c>
    </row>
    <row r="1135" spans="1:9" ht="15" customHeight="1" x14ac:dyDescent="0.15">
      <c r="A1135" s="6"/>
      <c r="D1135" t="s">
        <v>90</v>
      </c>
      <c r="E1135" t="str">
        <f>E776&amp;".358"</f>
        <v>15.358</v>
      </c>
      <c r="F1135" t="s">
        <v>2941</v>
      </c>
      <c r="G1135" t="s">
        <v>1979</v>
      </c>
      <c r="I1135">
        <v>251.66</v>
      </c>
    </row>
    <row r="1136" spans="1:9" ht="15" customHeight="1" x14ac:dyDescent="0.15">
      <c r="A1136" s="6"/>
      <c r="D1136" t="s">
        <v>90</v>
      </c>
      <c r="E1136" t="str">
        <f>E776&amp;".359"</f>
        <v>15.359</v>
      </c>
      <c r="F1136" t="s">
        <v>2942</v>
      </c>
      <c r="G1136" t="s">
        <v>1979</v>
      </c>
      <c r="I1136">
        <v>0</v>
      </c>
    </row>
    <row r="1137" spans="1:9" ht="15" customHeight="1" x14ac:dyDescent="0.15">
      <c r="A1137" s="6"/>
      <c r="D1137" t="s">
        <v>90</v>
      </c>
      <c r="E1137" t="str">
        <f>E776&amp;".360"</f>
        <v>15.360</v>
      </c>
      <c r="F1137" t="s">
        <v>2943</v>
      </c>
      <c r="G1137" t="s">
        <v>1979</v>
      </c>
      <c r="I1137">
        <v>209.999</v>
      </c>
    </row>
    <row r="1138" spans="1:9" ht="15" customHeight="1" x14ac:dyDescent="0.15">
      <c r="A1138" s="6"/>
      <c r="D1138" t="s">
        <v>90</v>
      </c>
      <c r="E1138" t="str">
        <f>E776&amp;".361"</f>
        <v>15.361</v>
      </c>
      <c r="F1138" t="s">
        <v>2944</v>
      </c>
      <c r="G1138" t="s">
        <v>1979</v>
      </c>
      <c r="I1138">
        <v>210</v>
      </c>
    </row>
    <row r="1139" spans="1:9" ht="15" customHeight="1" x14ac:dyDescent="0.15">
      <c r="A1139" s="6"/>
      <c r="D1139" t="s">
        <v>90</v>
      </c>
      <c r="E1139" t="str">
        <f>E776&amp;".362"</f>
        <v>15.362</v>
      </c>
      <c r="F1139" t="s">
        <v>2945</v>
      </c>
      <c r="G1139" t="s">
        <v>1979</v>
      </c>
      <c r="I1139">
        <v>210</v>
      </c>
    </row>
    <row r="1140" spans="1:9" ht="15" customHeight="1" x14ac:dyDescent="0.15">
      <c r="A1140" s="6"/>
      <c r="D1140" t="s">
        <v>90</v>
      </c>
      <c r="E1140" t="str">
        <f>E776&amp;".363"</f>
        <v>15.363</v>
      </c>
      <c r="F1140" t="s">
        <v>2946</v>
      </c>
      <c r="G1140" t="s">
        <v>1979</v>
      </c>
      <c r="I1140">
        <v>210</v>
      </c>
    </row>
    <row r="1141" spans="1:9" ht="15" customHeight="1" x14ac:dyDescent="0.15">
      <c r="A1141" s="6"/>
      <c r="D1141" t="s">
        <v>90</v>
      </c>
      <c r="E1141" t="str">
        <f>E776&amp;".364"</f>
        <v>15.364</v>
      </c>
      <c r="F1141" t="s">
        <v>2947</v>
      </c>
      <c r="G1141" t="s">
        <v>1979</v>
      </c>
      <c r="I1141">
        <v>210</v>
      </c>
    </row>
    <row r="1142" spans="1:9" ht="15" customHeight="1" x14ac:dyDescent="0.15">
      <c r="A1142" s="6"/>
      <c r="D1142" t="s">
        <v>90</v>
      </c>
      <c r="E1142" t="str">
        <f>E776&amp;".365"</f>
        <v>15.365</v>
      </c>
      <c r="F1142" t="s">
        <v>2948</v>
      </c>
      <c r="G1142" t="s">
        <v>1979</v>
      </c>
      <c r="I1142">
        <v>210</v>
      </c>
    </row>
    <row r="1143" spans="1:9" ht="15" customHeight="1" x14ac:dyDescent="0.15">
      <c r="A1143" s="6"/>
      <c r="D1143" t="s">
        <v>90</v>
      </c>
      <c r="E1143" t="str">
        <f>E776&amp;".366"</f>
        <v>15.366</v>
      </c>
      <c r="F1143" t="s">
        <v>2949</v>
      </c>
      <c r="G1143" t="s">
        <v>1979</v>
      </c>
      <c r="I1143">
        <v>210</v>
      </c>
    </row>
    <row r="1144" spans="1:9" ht="15" customHeight="1" x14ac:dyDescent="0.15">
      <c r="A1144" s="6"/>
      <c r="D1144" t="s">
        <v>90</v>
      </c>
      <c r="E1144" t="str">
        <f>E776&amp;".367"</f>
        <v>15.367</v>
      </c>
      <c r="F1144" t="s">
        <v>2950</v>
      </c>
      <c r="G1144" t="s">
        <v>1979</v>
      </c>
      <c r="I1144">
        <v>210</v>
      </c>
    </row>
    <row r="1145" spans="1:9" ht="15" customHeight="1" x14ac:dyDescent="0.15">
      <c r="A1145" s="6"/>
      <c r="D1145" t="s">
        <v>90</v>
      </c>
      <c r="E1145" t="str">
        <f>E776&amp;".368"</f>
        <v>15.368</v>
      </c>
      <c r="F1145" t="s">
        <v>2951</v>
      </c>
      <c r="G1145" t="s">
        <v>1979</v>
      </c>
      <c r="I1145">
        <v>168.2</v>
      </c>
    </row>
    <row r="1146" spans="1:9" ht="15" customHeight="1" x14ac:dyDescent="0.15">
      <c r="A1146" s="6"/>
      <c r="D1146" t="s">
        <v>90</v>
      </c>
      <c r="E1146" t="str">
        <f>E776&amp;".369"</f>
        <v>15.369</v>
      </c>
      <c r="F1146" t="s">
        <v>2952</v>
      </c>
      <c r="G1146" t="s">
        <v>1979</v>
      </c>
      <c r="I1146">
        <v>222</v>
      </c>
    </row>
    <row r="1147" spans="1:9" ht="15" customHeight="1" x14ac:dyDescent="0.15">
      <c r="A1147" s="6"/>
      <c r="D1147" t="s">
        <v>90</v>
      </c>
      <c r="E1147" t="str">
        <f>E776&amp;".370"</f>
        <v>15.370</v>
      </c>
      <c r="F1147" t="s">
        <v>2953</v>
      </c>
      <c r="G1147" t="s">
        <v>1979</v>
      </c>
      <c r="I1147">
        <v>230</v>
      </c>
    </row>
    <row r="1148" spans="1:9" ht="15" customHeight="1" x14ac:dyDescent="0.15">
      <c r="A1148" s="6"/>
      <c r="D1148" t="s">
        <v>90</v>
      </c>
      <c r="E1148" t="str">
        <f>E776&amp;".371"</f>
        <v>15.371</v>
      </c>
      <c r="F1148" t="s">
        <v>2954</v>
      </c>
      <c r="G1148" t="s">
        <v>1979</v>
      </c>
      <c r="I1148">
        <v>255</v>
      </c>
    </row>
    <row r="1149" spans="1:9" ht="15" customHeight="1" x14ac:dyDescent="0.15">
      <c r="A1149" s="6"/>
      <c r="D1149" t="s">
        <v>90</v>
      </c>
      <c r="E1149" t="str">
        <f>E776&amp;".372"</f>
        <v>15.372</v>
      </c>
      <c r="F1149" t="s">
        <v>2955</v>
      </c>
      <c r="G1149" t="s">
        <v>1979</v>
      </c>
      <c r="I1149">
        <v>227.55600000000001</v>
      </c>
    </row>
    <row r="1150" spans="1:9" ht="15" customHeight="1" x14ac:dyDescent="0.15">
      <c r="A1150" s="6"/>
      <c r="D1150" t="s">
        <v>90</v>
      </c>
      <c r="E1150" t="str">
        <f>E776&amp;".373"</f>
        <v>15.373</v>
      </c>
      <c r="F1150" t="s">
        <v>2956</v>
      </c>
      <c r="G1150" t="s">
        <v>1979</v>
      </c>
      <c r="I1150">
        <v>220</v>
      </c>
    </row>
    <row r="1151" spans="1:9" ht="15" customHeight="1" x14ac:dyDescent="0.15">
      <c r="A1151" s="6"/>
      <c r="D1151" t="s">
        <v>90</v>
      </c>
      <c r="E1151" t="str">
        <f>E776&amp;".374"</f>
        <v>15.374</v>
      </c>
      <c r="F1151" t="s">
        <v>2957</v>
      </c>
      <c r="G1151" t="s">
        <v>1979</v>
      </c>
      <c r="I1151">
        <v>220</v>
      </c>
    </row>
    <row r="1152" spans="1:9" ht="15" customHeight="1" x14ac:dyDescent="0.15">
      <c r="A1152" s="6"/>
      <c r="D1152" t="s">
        <v>90</v>
      </c>
      <c r="E1152" t="str">
        <f>E776&amp;".375"</f>
        <v>15.375</v>
      </c>
      <c r="F1152" t="s">
        <v>2958</v>
      </c>
      <c r="G1152" t="s">
        <v>1979</v>
      </c>
      <c r="I1152">
        <v>238</v>
      </c>
    </row>
    <row r="1153" spans="1:9" ht="15" customHeight="1" x14ac:dyDescent="0.15">
      <c r="A1153" s="6"/>
      <c r="D1153" t="s">
        <v>90</v>
      </c>
      <c r="E1153" t="str">
        <f>E776&amp;".376"</f>
        <v>15.376</v>
      </c>
      <c r="F1153" t="s">
        <v>2959</v>
      </c>
      <c r="G1153" t="s">
        <v>1979</v>
      </c>
      <c r="I1153">
        <v>210</v>
      </c>
    </row>
    <row r="1154" spans="1:9" ht="15" customHeight="1" x14ac:dyDescent="0.15">
      <c r="A1154" s="6"/>
      <c r="D1154" t="s">
        <v>90</v>
      </c>
      <c r="E1154" t="str">
        <f>E776&amp;".377"</f>
        <v>15.377</v>
      </c>
      <c r="F1154" t="s">
        <v>2960</v>
      </c>
      <c r="G1154" t="s">
        <v>1979</v>
      </c>
      <c r="I1154">
        <v>215</v>
      </c>
    </row>
    <row r="1155" spans="1:9" ht="15" customHeight="1" x14ac:dyDescent="0.15">
      <c r="A1155" s="6"/>
      <c r="D1155" t="s">
        <v>90</v>
      </c>
      <c r="E1155" t="str">
        <f>E776&amp;".378"</f>
        <v>15.378</v>
      </c>
      <c r="F1155" t="s">
        <v>2961</v>
      </c>
      <c r="G1155" t="s">
        <v>1979</v>
      </c>
      <c r="I1155">
        <v>196.42400000000001</v>
      </c>
    </row>
    <row r="1156" spans="1:9" ht="15" customHeight="1" x14ac:dyDescent="0.15">
      <c r="A1156" s="6"/>
      <c r="D1156" t="s">
        <v>90</v>
      </c>
      <c r="E1156" t="str">
        <f>E776&amp;".379"</f>
        <v>15.379</v>
      </c>
      <c r="F1156" t="s">
        <v>2962</v>
      </c>
      <c r="G1156" t="s">
        <v>1979</v>
      </c>
      <c r="I1156">
        <v>238</v>
      </c>
    </row>
    <row r="1157" spans="1:9" ht="15" customHeight="1" x14ac:dyDescent="0.15">
      <c r="A1157" s="6"/>
      <c r="D1157" t="s">
        <v>90</v>
      </c>
      <c r="E1157" t="str">
        <f>E776&amp;".380"</f>
        <v>15.380</v>
      </c>
      <c r="F1157" t="s">
        <v>2963</v>
      </c>
      <c r="G1157" t="s">
        <v>1979</v>
      </c>
      <c r="I1157">
        <v>210</v>
      </c>
    </row>
    <row r="1158" spans="1:9" ht="15" customHeight="1" x14ac:dyDescent="0.15">
      <c r="A1158" s="6"/>
      <c r="D1158" t="s">
        <v>90</v>
      </c>
      <c r="E1158" t="str">
        <f>E776&amp;".381"</f>
        <v>15.381</v>
      </c>
      <c r="F1158" t="s">
        <v>2964</v>
      </c>
      <c r="G1158" t="s">
        <v>1979</v>
      </c>
      <c r="I1158">
        <v>210</v>
      </c>
    </row>
    <row r="1159" spans="1:9" ht="15" customHeight="1" x14ac:dyDescent="0.15">
      <c r="A1159" s="6"/>
      <c r="D1159" t="s">
        <v>90</v>
      </c>
      <c r="E1159" t="str">
        <f>E776&amp;".382"</f>
        <v>15.382</v>
      </c>
      <c r="F1159" t="s">
        <v>2965</v>
      </c>
      <c r="G1159" t="s">
        <v>1979</v>
      </c>
      <c r="I1159">
        <v>210</v>
      </c>
    </row>
    <row r="1160" spans="1:9" ht="15" customHeight="1" x14ac:dyDescent="0.15">
      <c r="A1160" s="6"/>
      <c r="D1160" t="s">
        <v>90</v>
      </c>
      <c r="E1160" t="str">
        <f>E776&amp;".383"</f>
        <v>15.383</v>
      </c>
      <c r="F1160" t="s">
        <v>2966</v>
      </c>
      <c r="G1160" t="s">
        <v>1979</v>
      </c>
      <c r="I1160">
        <v>210</v>
      </c>
    </row>
    <row r="1161" spans="1:9" ht="15" customHeight="1" x14ac:dyDescent="0.15">
      <c r="A1161" s="6"/>
      <c r="D1161" t="s">
        <v>90</v>
      </c>
      <c r="E1161" t="str">
        <f>E776&amp;".384"</f>
        <v>15.384</v>
      </c>
      <c r="F1161" t="s">
        <v>2967</v>
      </c>
      <c r="G1161" t="s">
        <v>1979</v>
      </c>
      <c r="I1161">
        <v>210</v>
      </c>
    </row>
    <row r="1162" spans="1:9" ht="15" customHeight="1" x14ac:dyDescent="0.15">
      <c r="A1162" s="6"/>
      <c r="D1162" t="s">
        <v>90</v>
      </c>
      <c r="E1162" t="str">
        <f>E776&amp;".385"</f>
        <v>15.385</v>
      </c>
      <c r="F1162" t="s">
        <v>2968</v>
      </c>
      <c r="G1162" t="s">
        <v>1979</v>
      </c>
      <c r="I1162">
        <v>210</v>
      </c>
    </row>
    <row r="1163" spans="1:9" ht="15" customHeight="1" x14ac:dyDescent="0.15">
      <c r="A1163" s="6"/>
      <c r="D1163" t="s">
        <v>90</v>
      </c>
      <c r="E1163" t="str">
        <f>E776&amp;".386"</f>
        <v>15.386</v>
      </c>
      <c r="F1163" t="s">
        <v>2969</v>
      </c>
      <c r="G1163" t="s">
        <v>1979</v>
      </c>
      <c r="I1163">
        <v>210</v>
      </c>
    </row>
    <row r="1164" spans="1:9" ht="15" customHeight="1" x14ac:dyDescent="0.15">
      <c r="A1164" s="6"/>
      <c r="D1164" t="s">
        <v>90</v>
      </c>
      <c r="E1164" t="str">
        <f>E776&amp;".387"</f>
        <v>15.387</v>
      </c>
      <c r="F1164" t="s">
        <v>2970</v>
      </c>
      <c r="G1164" t="s">
        <v>1979</v>
      </c>
      <c r="I1164">
        <v>210</v>
      </c>
    </row>
    <row r="1165" spans="1:9" ht="15" customHeight="1" x14ac:dyDescent="0.15">
      <c r="A1165" s="6"/>
      <c r="D1165" t="s">
        <v>90</v>
      </c>
      <c r="E1165" t="str">
        <f>E776&amp;".388"</f>
        <v>15.388</v>
      </c>
      <c r="F1165" t="s">
        <v>2971</v>
      </c>
      <c r="G1165" t="s">
        <v>1979</v>
      </c>
      <c r="I1165">
        <v>0</v>
      </c>
    </row>
    <row r="1166" spans="1:9" ht="15" customHeight="1" x14ac:dyDescent="0.15">
      <c r="A1166" s="6"/>
      <c r="D1166" t="s">
        <v>90</v>
      </c>
      <c r="E1166" t="str">
        <f>E776&amp;".389"</f>
        <v>15.389</v>
      </c>
      <c r="F1166" t="s">
        <v>2972</v>
      </c>
      <c r="G1166" t="s">
        <v>1979</v>
      </c>
      <c r="I1166">
        <v>210</v>
      </c>
    </row>
    <row r="1167" spans="1:9" ht="15" customHeight="1" x14ac:dyDescent="0.15">
      <c r="A1167" s="6"/>
      <c r="D1167" t="s">
        <v>90</v>
      </c>
      <c r="E1167" t="str">
        <f>E776&amp;".390"</f>
        <v>15.390</v>
      </c>
      <c r="F1167" t="s">
        <v>2973</v>
      </c>
      <c r="G1167" t="s">
        <v>1979</v>
      </c>
      <c r="I1167">
        <v>220</v>
      </c>
    </row>
    <row r="1168" spans="1:9" ht="15" customHeight="1" x14ac:dyDescent="0.15">
      <c r="A1168" s="6"/>
      <c r="D1168" t="s">
        <v>90</v>
      </c>
      <c r="E1168" t="str">
        <f>E776&amp;".391"</f>
        <v>15.391</v>
      </c>
      <c r="F1168" t="s">
        <v>2974</v>
      </c>
      <c r="G1168" t="s">
        <v>1979</v>
      </c>
      <c r="I1168">
        <v>173</v>
      </c>
    </row>
    <row r="1169" spans="1:9" ht="15" customHeight="1" x14ac:dyDescent="0.15">
      <c r="A1169" s="6"/>
      <c r="D1169" t="s">
        <v>90</v>
      </c>
      <c r="E1169" t="str">
        <f>E776&amp;".392"</f>
        <v>15.392</v>
      </c>
      <c r="F1169" t="s">
        <v>2975</v>
      </c>
      <c r="G1169" t="s">
        <v>1979</v>
      </c>
      <c r="I1169">
        <v>159</v>
      </c>
    </row>
    <row r="1170" spans="1:9" ht="15" customHeight="1" x14ac:dyDescent="0.15">
      <c r="A1170" s="6"/>
      <c r="D1170" t="s">
        <v>90</v>
      </c>
      <c r="E1170" t="str">
        <f>E776&amp;".393"</f>
        <v>15.393</v>
      </c>
      <c r="F1170" t="s">
        <v>2976</v>
      </c>
      <c r="G1170" t="s">
        <v>1979</v>
      </c>
      <c r="I1170">
        <v>188</v>
      </c>
    </row>
    <row r="1171" spans="1:9" ht="15" customHeight="1" x14ac:dyDescent="0.15">
      <c r="A1171" s="6"/>
      <c r="D1171" t="s">
        <v>90</v>
      </c>
      <c r="E1171" t="str">
        <f>E776&amp;".394"</f>
        <v>15.394</v>
      </c>
      <c r="F1171" t="s">
        <v>2977</v>
      </c>
      <c r="G1171" t="s">
        <v>1979</v>
      </c>
      <c r="I1171">
        <v>200</v>
      </c>
    </row>
    <row r="1172" spans="1:9" ht="15" customHeight="1" x14ac:dyDescent="0.15">
      <c r="A1172" s="6"/>
      <c r="D1172" t="s">
        <v>90</v>
      </c>
      <c r="E1172" t="str">
        <f>E776&amp;".395"</f>
        <v>15.395</v>
      </c>
      <c r="F1172" t="s">
        <v>2978</v>
      </c>
      <c r="G1172" t="s">
        <v>1979</v>
      </c>
      <c r="I1172">
        <v>278</v>
      </c>
    </row>
    <row r="1173" spans="1:9" ht="15" customHeight="1" x14ac:dyDescent="0.15">
      <c r="A1173" s="6"/>
      <c r="D1173" t="s">
        <v>90</v>
      </c>
      <c r="E1173" t="str">
        <f>E776&amp;".396"</f>
        <v>15.396</v>
      </c>
      <c r="F1173" t="s">
        <v>2979</v>
      </c>
      <c r="G1173" t="s">
        <v>1979</v>
      </c>
      <c r="I1173">
        <v>265</v>
      </c>
    </row>
    <row r="1174" spans="1:9" ht="15" customHeight="1" x14ac:dyDescent="0.15">
      <c r="A1174" s="6"/>
      <c r="D1174" t="s">
        <v>90</v>
      </c>
      <c r="E1174" t="str">
        <f>E776&amp;".397"</f>
        <v>15.397</v>
      </c>
      <c r="F1174" t="s">
        <v>2980</v>
      </c>
      <c r="G1174" t="s">
        <v>1979</v>
      </c>
      <c r="I1174">
        <v>250</v>
      </c>
    </row>
    <row r="1175" spans="1:9" ht="15" customHeight="1" x14ac:dyDescent="0.15">
      <c r="A1175" s="6"/>
      <c r="D1175" t="s">
        <v>90</v>
      </c>
      <c r="E1175" t="str">
        <f>E776&amp;".398"</f>
        <v>15.398</v>
      </c>
      <c r="F1175" t="s">
        <v>2981</v>
      </c>
      <c r="G1175" t="s">
        <v>1979</v>
      </c>
      <c r="I1175">
        <v>215</v>
      </c>
    </row>
    <row r="1176" spans="1:9" ht="15" customHeight="1" x14ac:dyDescent="0.15">
      <c r="A1176" s="6"/>
      <c r="D1176" t="s">
        <v>90</v>
      </c>
      <c r="E1176" t="str">
        <f>E776&amp;".399"</f>
        <v>15.399</v>
      </c>
      <c r="F1176" t="s">
        <v>2982</v>
      </c>
      <c r="G1176" t="s">
        <v>1979</v>
      </c>
      <c r="I1176">
        <v>233</v>
      </c>
    </row>
    <row r="1177" spans="1:9" ht="15" customHeight="1" x14ac:dyDescent="0.15">
      <c r="A1177" s="6"/>
      <c r="D1177" t="s">
        <v>90</v>
      </c>
      <c r="E1177" t="str">
        <f>E776&amp;".400"</f>
        <v>15.400</v>
      </c>
      <c r="F1177" t="s">
        <v>2983</v>
      </c>
      <c r="G1177" t="s">
        <v>1979</v>
      </c>
      <c r="I1177">
        <v>275.89999999999998</v>
      </c>
    </row>
    <row r="1178" spans="1:9" ht="15" customHeight="1" x14ac:dyDescent="0.15">
      <c r="A1178" s="6"/>
      <c r="D1178" t="s">
        <v>90</v>
      </c>
      <c r="E1178" t="str">
        <f>E776&amp;".401"</f>
        <v>15.401</v>
      </c>
      <c r="F1178" t="s">
        <v>2984</v>
      </c>
      <c r="G1178" t="s">
        <v>1979</v>
      </c>
      <c r="I1178">
        <v>189.90299999999999</v>
      </c>
    </row>
    <row r="1179" spans="1:9" ht="15" customHeight="1" x14ac:dyDescent="0.15">
      <c r="A1179" s="6"/>
      <c r="D1179" t="s">
        <v>90</v>
      </c>
      <c r="E1179" t="str">
        <f>E776&amp;".402"</f>
        <v>15.402</v>
      </c>
      <c r="F1179" t="s">
        <v>2985</v>
      </c>
      <c r="G1179" t="s">
        <v>1979</v>
      </c>
      <c r="I1179">
        <v>285</v>
      </c>
    </row>
    <row r="1180" spans="1:9" ht="15" customHeight="1" x14ac:dyDescent="0.15">
      <c r="A1180" s="6"/>
      <c r="D1180" t="s">
        <v>90</v>
      </c>
      <c r="E1180" t="str">
        <f>E776&amp;".403"</f>
        <v>15.403</v>
      </c>
      <c r="F1180" t="s">
        <v>2986</v>
      </c>
      <c r="G1180" t="s">
        <v>1979</v>
      </c>
      <c r="I1180">
        <v>238</v>
      </c>
    </row>
    <row r="1181" spans="1:9" ht="15" customHeight="1" x14ac:dyDescent="0.15">
      <c r="A1181" s="6"/>
      <c r="D1181" t="s">
        <v>90</v>
      </c>
      <c r="E1181" t="str">
        <f>E776&amp;".404"</f>
        <v>15.404</v>
      </c>
      <c r="F1181" t="s">
        <v>2987</v>
      </c>
      <c r="G1181" t="s">
        <v>1979</v>
      </c>
      <c r="I1181">
        <v>277.89499999999998</v>
      </c>
    </row>
    <row r="1182" spans="1:9" ht="15" customHeight="1" x14ac:dyDescent="0.15">
      <c r="A1182" s="6"/>
      <c r="D1182" t="s">
        <v>90</v>
      </c>
      <c r="E1182" t="str">
        <f>E776&amp;".405"</f>
        <v>15.405</v>
      </c>
      <c r="F1182" t="s">
        <v>2988</v>
      </c>
      <c r="G1182" t="s">
        <v>1979</v>
      </c>
      <c r="I1182">
        <v>0</v>
      </c>
    </row>
    <row r="1183" spans="1:9" ht="15" customHeight="1" x14ac:dyDescent="0.15">
      <c r="A1183" s="6"/>
      <c r="D1183" t="s">
        <v>90</v>
      </c>
      <c r="E1183" t="str">
        <f>E776&amp;".406"</f>
        <v>15.406</v>
      </c>
      <c r="F1183" t="s">
        <v>2989</v>
      </c>
      <c r="G1183" t="s">
        <v>1979</v>
      </c>
      <c r="I1183">
        <v>243</v>
      </c>
    </row>
    <row r="1184" spans="1:9" ht="15" customHeight="1" x14ac:dyDescent="0.15">
      <c r="A1184" s="6"/>
      <c r="D1184" t="s">
        <v>90</v>
      </c>
      <c r="E1184" t="str">
        <f>E776&amp;".407"</f>
        <v>15.407</v>
      </c>
      <c r="F1184" t="s">
        <v>2990</v>
      </c>
      <c r="G1184" t="s">
        <v>1979</v>
      </c>
      <c r="I1184">
        <v>210</v>
      </c>
    </row>
    <row r="1185" spans="1:9" ht="15" customHeight="1" x14ac:dyDescent="0.15">
      <c r="A1185" s="6"/>
      <c r="D1185" t="s">
        <v>90</v>
      </c>
      <c r="E1185" t="str">
        <f>E776&amp;".408"</f>
        <v>15.408</v>
      </c>
      <c r="F1185" t="s">
        <v>2991</v>
      </c>
      <c r="G1185" t="s">
        <v>1979</v>
      </c>
      <c r="I1185">
        <v>210</v>
      </c>
    </row>
    <row r="1186" spans="1:9" ht="15" customHeight="1" x14ac:dyDescent="0.15">
      <c r="A1186" s="6"/>
      <c r="D1186" t="s">
        <v>90</v>
      </c>
      <c r="E1186" t="str">
        <f>E776&amp;".409"</f>
        <v>15.409</v>
      </c>
      <c r="F1186" t="s">
        <v>2992</v>
      </c>
      <c r="G1186" t="s">
        <v>1979</v>
      </c>
      <c r="I1186">
        <v>235</v>
      </c>
    </row>
    <row r="1187" spans="1:9" ht="15" customHeight="1" x14ac:dyDescent="0.15">
      <c r="A1187" s="6"/>
      <c r="D1187" t="s">
        <v>90</v>
      </c>
      <c r="E1187" t="str">
        <f>E776&amp;".410"</f>
        <v>15.410</v>
      </c>
      <c r="F1187" t="s">
        <v>2993</v>
      </c>
      <c r="G1187" t="s">
        <v>1979</v>
      </c>
      <c r="I1187">
        <v>210</v>
      </c>
    </row>
    <row r="1188" spans="1:9" ht="15" customHeight="1" x14ac:dyDescent="0.15">
      <c r="A1188" s="6"/>
      <c r="D1188" t="s">
        <v>90</v>
      </c>
      <c r="E1188" t="str">
        <f>E776&amp;".411"</f>
        <v>15.411</v>
      </c>
      <c r="F1188" t="s">
        <v>2994</v>
      </c>
      <c r="G1188" t="s">
        <v>1979</v>
      </c>
      <c r="I1188">
        <v>220</v>
      </c>
    </row>
    <row r="1189" spans="1:9" ht="15" customHeight="1" x14ac:dyDescent="0.15">
      <c r="A1189" s="6"/>
      <c r="D1189" t="s">
        <v>90</v>
      </c>
      <c r="E1189" t="str">
        <f>E776&amp;".412"</f>
        <v>15.412</v>
      </c>
      <c r="F1189" t="s">
        <v>2995</v>
      </c>
      <c r="G1189" t="s">
        <v>1979</v>
      </c>
      <c r="I1189">
        <v>210</v>
      </c>
    </row>
    <row r="1190" spans="1:9" ht="15" customHeight="1" x14ac:dyDescent="0.15">
      <c r="A1190" s="6"/>
      <c r="D1190" t="s">
        <v>90</v>
      </c>
      <c r="E1190" t="str">
        <f>E776&amp;".413"</f>
        <v>15.413</v>
      </c>
      <c r="F1190" t="s">
        <v>2996</v>
      </c>
      <c r="G1190" t="s">
        <v>1979</v>
      </c>
      <c r="I1190">
        <v>210</v>
      </c>
    </row>
    <row r="1191" spans="1:9" ht="15" customHeight="1" x14ac:dyDescent="0.15">
      <c r="A1191" s="6"/>
      <c r="D1191" t="s">
        <v>90</v>
      </c>
      <c r="E1191" t="str">
        <f>E776&amp;".414"</f>
        <v>15.414</v>
      </c>
      <c r="F1191" t="s">
        <v>2997</v>
      </c>
      <c r="G1191" t="s">
        <v>1979</v>
      </c>
      <c r="I1191">
        <v>210</v>
      </c>
    </row>
    <row r="1192" spans="1:9" ht="15" customHeight="1" x14ac:dyDescent="0.15">
      <c r="A1192" s="6"/>
      <c r="D1192" t="s">
        <v>90</v>
      </c>
      <c r="E1192" t="str">
        <f>E776&amp;".415"</f>
        <v>15.415</v>
      </c>
      <c r="F1192" t="s">
        <v>2998</v>
      </c>
      <c r="G1192" t="s">
        <v>1979</v>
      </c>
      <c r="I1192">
        <v>210</v>
      </c>
    </row>
    <row r="1193" spans="1:9" ht="15" customHeight="1" x14ac:dyDescent="0.15">
      <c r="A1193" s="6"/>
      <c r="D1193" t="s">
        <v>90</v>
      </c>
      <c r="E1193" t="str">
        <f>E776&amp;".416"</f>
        <v>15.416</v>
      </c>
      <c r="F1193" t="s">
        <v>2999</v>
      </c>
      <c r="G1193" t="s">
        <v>1979</v>
      </c>
      <c r="I1193">
        <v>210</v>
      </c>
    </row>
    <row r="1194" spans="1:9" ht="15" customHeight="1" x14ac:dyDescent="0.15">
      <c r="A1194" s="6"/>
      <c r="D1194" t="s">
        <v>90</v>
      </c>
      <c r="E1194" t="str">
        <f>E776&amp;".417"</f>
        <v>15.417</v>
      </c>
      <c r="F1194" t="s">
        <v>3000</v>
      </c>
      <c r="G1194" t="s">
        <v>1979</v>
      </c>
      <c r="I1194">
        <v>173.24</v>
      </c>
    </row>
    <row r="1195" spans="1:9" ht="15" customHeight="1" x14ac:dyDescent="0.15">
      <c r="A1195" s="6"/>
      <c r="D1195" t="s">
        <v>90</v>
      </c>
      <c r="E1195" t="str">
        <f>E776&amp;".418"</f>
        <v>15.418</v>
      </c>
      <c r="F1195" t="s">
        <v>3001</v>
      </c>
      <c r="G1195" t="s">
        <v>1979</v>
      </c>
      <c r="I1195">
        <v>173.959</v>
      </c>
    </row>
    <row r="1196" spans="1:9" ht="15" customHeight="1" x14ac:dyDescent="0.15">
      <c r="A1196" s="6"/>
      <c r="D1196" t="s">
        <v>90</v>
      </c>
      <c r="E1196" t="str">
        <f>E776&amp;".419"</f>
        <v>15.419</v>
      </c>
      <c r="F1196" t="s">
        <v>3002</v>
      </c>
      <c r="G1196" t="s">
        <v>1979</v>
      </c>
      <c r="I1196">
        <v>300</v>
      </c>
    </row>
    <row r="1197" spans="1:9" ht="15" customHeight="1" x14ac:dyDescent="0.15">
      <c r="A1197" s="6"/>
      <c r="D1197" t="s">
        <v>90</v>
      </c>
      <c r="E1197" t="str">
        <f>E776&amp;".420"</f>
        <v>15.420</v>
      </c>
      <c r="F1197" t="s">
        <v>3003</v>
      </c>
      <c r="G1197" t="s">
        <v>1979</v>
      </c>
      <c r="I1197">
        <v>222.70699999999999</v>
      </c>
    </row>
    <row r="1198" spans="1:9" ht="15" customHeight="1" x14ac:dyDescent="0.15">
      <c r="A1198" s="6"/>
      <c r="D1198" t="s">
        <v>90</v>
      </c>
      <c r="E1198" t="str">
        <f>E776&amp;".421"</f>
        <v>15.421</v>
      </c>
      <c r="F1198" t="s">
        <v>3004</v>
      </c>
      <c r="G1198" t="s">
        <v>1979</v>
      </c>
      <c r="I1198">
        <v>225.71899999999999</v>
      </c>
    </row>
    <row r="1199" spans="1:9" ht="15" customHeight="1" x14ac:dyDescent="0.15">
      <c r="A1199" s="6"/>
      <c r="D1199" t="s">
        <v>90</v>
      </c>
      <c r="E1199" t="str">
        <f>E776&amp;".422"</f>
        <v>15.422</v>
      </c>
      <c r="F1199" t="s">
        <v>3005</v>
      </c>
      <c r="G1199" t="s">
        <v>1979</v>
      </c>
      <c r="I1199">
        <v>230</v>
      </c>
    </row>
    <row r="1200" spans="1:9" ht="15" customHeight="1" x14ac:dyDescent="0.15">
      <c r="A1200" s="6"/>
      <c r="D1200" t="s">
        <v>90</v>
      </c>
      <c r="E1200" t="str">
        <f>E776&amp;".423"</f>
        <v>15.423</v>
      </c>
      <c r="F1200" t="s">
        <v>3006</v>
      </c>
      <c r="G1200" t="s">
        <v>1979</v>
      </c>
      <c r="I1200">
        <v>230</v>
      </c>
    </row>
    <row r="1201" spans="1:9" ht="15" customHeight="1" x14ac:dyDescent="0.15">
      <c r="A1201" s="6"/>
      <c r="D1201" t="s">
        <v>90</v>
      </c>
      <c r="E1201" t="str">
        <f>E776&amp;".424"</f>
        <v>15.424</v>
      </c>
      <c r="F1201" t="s">
        <v>3007</v>
      </c>
      <c r="G1201" t="s">
        <v>1979</v>
      </c>
      <c r="I1201">
        <v>228</v>
      </c>
    </row>
    <row r="1202" spans="1:9" ht="15" customHeight="1" x14ac:dyDescent="0.15">
      <c r="A1202" s="6"/>
      <c r="D1202" t="s">
        <v>90</v>
      </c>
      <c r="E1202" t="str">
        <f>E776&amp;".425"</f>
        <v>15.425</v>
      </c>
      <c r="F1202" t="s">
        <v>3008</v>
      </c>
      <c r="G1202" t="s">
        <v>1979</v>
      </c>
      <c r="I1202">
        <v>216.68</v>
      </c>
    </row>
    <row r="1203" spans="1:9" ht="15" customHeight="1" x14ac:dyDescent="0.15">
      <c r="A1203" s="6"/>
      <c r="D1203" t="s">
        <v>90</v>
      </c>
      <c r="E1203" t="str">
        <f>E776&amp;".426"</f>
        <v>15.426</v>
      </c>
      <c r="F1203" t="s">
        <v>3009</v>
      </c>
      <c r="G1203" t="s">
        <v>1979</v>
      </c>
      <c r="I1203">
        <v>210</v>
      </c>
    </row>
    <row r="1204" spans="1:9" ht="15" customHeight="1" x14ac:dyDescent="0.15">
      <c r="A1204" s="6"/>
      <c r="D1204" t="s">
        <v>90</v>
      </c>
      <c r="E1204" t="str">
        <f>E776&amp;".427"</f>
        <v>15.427</v>
      </c>
      <c r="F1204" t="s">
        <v>3010</v>
      </c>
      <c r="G1204" t="s">
        <v>1979</v>
      </c>
      <c r="I1204">
        <v>210</v>
      </c>
    </row>
    <row r="1205" spans="1:9" ht="15" customHeight="1" x14ac:dyDescent="0.15">
      <c r="A1205" s="6"/>
      <c r="D1205" t="s">
        <v>90</v>
      </c>
      <c r="E1205" t="str">
        <f>E776&amp;".428"</f>
        <v>15.428</v>
      </c>
      <c r="F1205" t="s">
        <v>3011</v>
      </c>
      <c r="G1205" t="s">
        <v>1979</v>
      </c>
      <c r="I1205">
        <v>210</v>
      </c>
    </row>
    <row r="1206" spans="1:9" ht="15" customHeight="1" x14ac:dyDescent="0.15">
      <c r="A1206" s="6"/>
      <c r="D1206" t="s">
        <v>90</v>
      </c>
      <c r="E1206" t="str">
        <f>E776&amp;".429"</f>
        <v>15.429</v>
      </c>
      <c r="F1206" t="s">
        <v>3012</v>
      </c>
      <c r="G1206" t="s">
        <v>1979</v>
      </c>
      <c r="I1206">
        <v>210</v>
      </c>
    </row>
    <row r="1207" spans="1:9" ht="15" customHeight="1" x14ac:dyDescent="0.15">
      <c r="A1207" s="6"/>
      <c r="D1207" t="s">
        <v>90</v>
      </c>
      <c r="E1207" t="str">
        <f>E776&amp;".430"</f>
        <v>15.430</v>
      </c>
      <c r="F1207" t="s">
        <v>3013</v>
      </c>
      <c r="G1207" t="s">
        <v>1979</v>
      </c>
      <c r="I1207">
        <v>210</v>
      </c>
    </row>
    <row r="1208" spans="1:9" ht="15" customHeight="1" x14ac:dyDescent="0.15">
      <c r="A1208" s="6"/>
      <c r="D1208" t="s">
        <v>90</v>
      </c>
      <c r="E1208" t="str">
        <f>E776&amp;".431"</f>
        <v>15.431</v>
      </c>
      <c r="F1208" t="s">
        <v>3014</v>
      </c>
      <c r="G1208" t="s">
        <v>1979</v>
      </c>
      <c r="I1208">
        <v>210</v>
      </c>
    </row>
    <row r="1209" spans="1:9" ht="15" customHeight="1" x14ac:dyDescent="0.15">
      <c r="A1209" s="6"/>
      <c r="D1209" t="s">
        <v>90</v>
      </c>
      <c r="E1209" t="str">
        <f>E776&amp;".432"</f>
        <v>15.432</v>
      </c>
      <c r="F1209" t="s">
        <v>3015</v>
      </c>
      <c r="G1209" t="s">
        <v>1979</v>
      </c>
      <c r="I1209">
        <v>235</v>
      </c>
    </row>
    <row r="1210" spans="1:9" ht="15" customHeight="1" x14ac:dyDescent="0.15">
      <c r="A1210" s="6"/>
      <c r="D1210" t="s">
        <v>90</v>
      </c>
      <c r="E1210" t="str">
        <f>E776&amp;".433"</f>
        <v>15.433</v>
      </c>
      <c r="F1210" t="s">
        <v>3016</v>
      </c>
      <c r="G1210" t="s">
        <v>1979</v>
      </c>
      <c r="I1210">
        <v>226.25800000000001</v>
      </c>
    </row>
    <row r="1211" spans="1:9" ht="15" customHeight="1" x14ac:dyDescent="0.15">
      <c r="A1211" s="6"/>
      <c r="D1211" t="s">
        <v>90</v>
      </c>
      <c r="E1211" t="str">
        <f>E776&amp;".434"</f>
        <v>15.434</v>
      </c>
      <c r="F1211" t="s">
        <v>3017</v>
      </c>
      <c r="G1211" t="s">
        <v>1979</v>
      </c>
      <c r="I1211">
        <v>238</v>
      </c>
    </row>
    <row r="1212" spans="1:9" ht="15" customHeight="1" x14ac:dyDescent="0.15">
      <c r="A1212" s="6"/>
      <c r="D1212" t="s">
        <v>90</v>
      </c>
      <c r="E1212" t="str">
        <f>E776&amp;".435"</f>
        <v>15.435</v>
      </c>
      <c r="F1212" t="s">
        <v>3018</v>
      </c>
      <c r="G1212" t="s">
        <v>1979</v>
      </c>
      <c r="I1212">
        <v>215.75299999999999</v>
      </c>
    </row>
    <row r="1213" spans="1:9" ht="15" customHeight="1" x14ac:dyDescent="0.15">
      <c r="A1213" s="6"/>
      <c r="D1213" t="s">
        <v>90</v>
      </c>
      <c r="E1213" t="str">
        <f>E776&amp;".436"</f>
        <v>15.436</v>
      </c>
      <c r="F1213" t="s">
        <v>3019</v>
      </c>
      <c r="G1213" t="s">
        <v>1979</v>
      </c>
      <c r="I1213">
        <v>220.75399999999999</v>
      </c>
    </row>
    <row r="1214" spans="1:9" ht="15" customHeight="1" x14ac:dyDescent="0.15">
      <c r="A1214" s="6"/>
      <c r="D1214" t="s">
        <v>90</v>
      </c>
      <c r="E1214" t="str">
        <f>E776&amp;".437"</f>
        <v>15.437</v>
      </c>
      <c r="F1214" t="s">
        <v>3020</v>
      </c>
      <c r="G1214" t="s">
        <v>1979</v>
      </c>
      <c r="I1214">
        <v>235</v>
      </c>
    </row>
    <row r="1215" spans="1:9" ht="15" customHeight="1" x14ac:dyDescent="0.15">
      <c r="A1215" s="6"/>
      <c r="D1215" t="s">
        <v>90</v>
      </c>
      <c r="E1215" t="str">
        <f>E776&amp;".438"</f>
        <v>15.438</v>
      </c>
      <c r="F1215" t="s">
        <v>3021</v>
      </c>
      <c r="G1215" t="s">
        <v>1979</v>
      </c>
      <c r="I1215">
        <v>211.18600000000001</v>
      </c>
    </row>
    <row r="1216" spans="1:9" ht="15" customHeight="1" x14ac:dyDescent="0.15">
      <c r="A1216" s="6"/>
      <c r="D1216" t="s">
        <v>90</v>
      </c>
      <c r="E1216" t="str">
        <f>E776&amp;".439"</f>
        <v>15.439</v>
      </c>
      <c r="F1216" t="s">
        <v>3022</v>
      </c>
      <c r="G1216" t="s">
        <v>1979</v>
      </c>
      <c r="I1216">
        <v>212.80099999999999</v>
      </c>
    </row>
    <row r="1217" spans="1:9" ht="15" customHeight="1" x14ac:dyDescent="0.15">
      <c r="A1217" s="6"/>
      <c r="D1217" t="s">
        <v>90</v>
      </c>
      <c r="E1217" t="str">
        <f>E776&amp;".440"</f>
        <v>15.440</v>
      </c>
      <c r="F1217" t="s">
        <v>3023</v>
      </c>
      <c r="G1217" t="s">
        <v>1979</v>
      </c>
      <c r="I1217">
        <v>210</v>
      </c>
    </row>
    <row r="1218" spans="1:9" ht="15" customHeight="1" x14ac:dyDescent="0.15">
      <c r="A1218" s="6"/>
      <c r="D1218" t="s">
        <v>90</v>
      </c>
      <c r="E1218" t="str">
        <f>E776&amp;".441"</f>
        <v>15.441</v>
      </c>
      <c r="F1218" t="s">
        <v>3024</v>
      </c>
      <c r="G1218" t="s">
        <v>1979</v>
      </c>
      <c r="I1218">
        <v>210</v>
      </c>
    </row>
    <row r="1219" spans="1:9" ht="15" customHeight="1" x14ac:dyDescent="0.15">
      <c r="A1219" s="6"/>
      <c r="D1219" t="s">
        <v>90</v>
      </c>
      <c r="E1219" t="str">
        <f>E776&amp;".442"</f>
        <v>15.442</v>
      </c>
      <c r="F1219" t="s">
        <v>3025</v>
      </c>
      <c r="G1219" t="s">
        <v>1979</v>
      </c>
      <c r="I1219">
        <v>210</v>
      </c>
    </row>
    <row r="1220" spans="1:9" ht="15" customHeight="1" x14ac:dyDescent="0.15">
      <c r="A1220" s="6"/>
      <c r="D1220" t="s">
        <v>90</v>
      </c>
      <c r="E1220" t="str">
        <f>E776&amp;".443"</f>
        <v>15.443</v>
      </c>
      <c r="F1220" t="s">
        <v>3026</v>
      </c>
      <c r="G1220" t="s">
        <v>1979</v>
      </c>
      <c r="I1220">
        <v>210</v>
      </c>
    </row>
    <row r="1221" spans="1:9" ht="15" customHeight="1" x14ac:dyDescent="0.15">
      <c r="A1221" s="6"/>
      <c r="D1221" t="s">
        <v>90</v>
      </c>
      <c r="E1221" t="str">
        <f>E776&amp;".444"</f>
        <v>15.444</v>
      </c>
      <c r="F1221" t="s">
        <v>3027</v>
      </c>
      <c r="G1221" t="s">
        <v>1979</v>
      </c>
      <c r="I1221">
        <v>230</v>
      </c>
    </row>
    <row r="1222" spans="1:9" ht="15" customHeight="1" x14ac:dyDescent="0.15">
      <c r="A1222" s="6"/>
      <c r="D1222" t="s">
        <v>90</v>
      </c>
      <c r="E1222" t="str">
        <f>E776&amp;".445"</f>
        <v>15.445</v>
      </c>
      <c r="F1222" t="s">
        <v>3028</v>
      </c>
      <c r="G1222" t="s">
        <v>1979</v>
      </c>
      <c r="I1222">
        <v>210</v>
      </c>
    </row>
    <row r="1223" spans="1:9" ht="15" customHeight="1" x14ac:dyDescent="0.15">
      <c r="A1223" s="6"/>
      <c r="D1223" t="s">
        <v>90</v>
      </c>
      <c r="E1223" t="str">
        <f>E776&amp;".446"</f>
        <v>15.446</v>
      </c>
      <c r="F1223" t="s">
        <v>3029</v>
      </c>
      <c r="G1223" t="s">
        <v>1979</v>
      </c>
      <c r="I1223">
        <v>200</v>
      </c>
    </row>
    <row r="1224" spans="1:9" ht="15" customHeight="1" x14ac:dyDescent="0.15">
      <c r="A1224" s="6"/>
      <c r="D1224" t="s">
        <v>90</v>
      </c>
      <c r="E1224" t="str">
        <f>E776&amp;".447"</f>
        <v>15.447</v>
      </c>
      <c r="F1224" t="s">
        <v>3030</v>
      </c>
      <c r="G1224" t="s">
        <v>1979</v>
      </c>
      <c r="I1224">
        <v>210</v>
      </c>
    </row>
    <row r="1225" spans="1:9" ht="15" customHeight="1" x14ac:dyDescent="0.15">
      <c r="A1225" s="6"/>
      <c r="D1225" t="s">
        <v>90</v>
      </c>
      <c r="E1225" t="str">
        <f>E776&amp;".448"</f>
        <v>15.448</v>
      </c>
      <c r="F1225" t="s">
        <v>3031</v>
      </c>
      <c r="G1225" t="s">
        <v>1979</v>
      </c>
      <c r="I1225">
        <v>215</v>
      </c>
    </row>
    <row r="1226" spans="1:9" ht="15" customHeight="1" x14ac:dyDescent="0.15">
      <c r="A1226" s="6"/>
      <c r="D1226" t="s">
        <v>90</v>
      </c>
      <c r="E1226" t="str">
        <f>E776&amp;".449"</f>
        <v>15.449</v>
      </c>
      <c r="F1226" t="s">
        <v>3032</v>
      </c>
      <c r="G1226" t="s">
        <v>1979</v>
      </c>
      <c r="I1226">
        <v>198.4</v>
      </c>
    </row>
    <row r="1227" spans="1:9" ht="15" customHeight="1" x14ac:dyDescent="0.15">
      <c r="A1227" s="6"/>
      <c r="D1227" t="s">
        <v>90</v>
      </c>
      <c r="E1227" t="str">
        <f>E776&amp;".450"</f>
        <v>15.450</v>
      </c>
      <c r="F1227" t="s">
        <v>3033</v>
      </c>
      <c r="G1227" t="s">
        <v>1979</v>
      </c>
      <c r="I1227">
        <v>230</v>
      </c>
    </row>
    <row r="1228" spans="1:9" ht="15" customHeight="1" x14ac:dyDescent="0.15">
      <c r="A1228" s="6"/>
      <c r="D1228" t="s">
        <v>90</v>
      </c>
      <c r="E1228" t="str">
        <f>E776&amp;".451"</f>
        <v>15.451</v>
      </c>
      <c r="F1228" t="s">
        <v>3034</v>
      </c>
      <c r="G1228" t="s">
        <v>1979</v>
      </c>
      <c r="I1228">
        <v>260</v>
      </c>
    </row>
    <row r="1229" spans="1:9" ht="15" customHeight="1" x14ac:dyDescent="0.15">
      <c r="A1229" s="6"/>
      <c r="D1229" t="s">
        <v>90</v>
      </c>
      <c r="E1229" t="str">
        <f>E776&amp;".452"</f>
        <v>15.452</v>
      </c>
      <c r="F1229" t="s">
        <v>3035</v>
      </c>
      <c r="G1229" t="s">
        <v>1979</v>
      </c>
      <c r="I1229">
        <v>215.09</v>
      </c>
    </row>
    <row r="1230" spans="1:9" ht="15" customHeight="1" x14ac:dyDescent="0.15">
      <c r="A1230" s="6"/>
      <c r="D1230" t="s">
        <v>90</v>
      </c>
      <c r="E1230" t="str">
        <f>E776&amp;".453"</f>
        <v>15.453</v>
      </c>
      <c r="F1230" t="s">
        <v>3036</v>
      </c>
      <c r="G1230" t="s">
        <v>1979</v>
      </c>
      <c r="I1230">
        <v>220</v>
      </c>
    </row>
    <row r="1231" spans="1:9" ht="15" customHeight="1" x14ac:dyDescent="0.15">
      <c r="A1231" s="6"/>
      <c r="D1231" t="s">
        <v>90</v>
      </c>
      <c r="E1231" t="str">
        <f>E776&amp;".454"</f>
        <v>15.454</v>
      </c>
      <c r="F1231" t="s">
        <v>3037</v>
      </c>
      <c r="G1231" t="s">
        <v>1979</v>
      </c>
      <c r="I1231">
        <v>210</v>
      </c>
    </row>
    <row r="1232" spans="1:9" ht="15" customHeight="1" x14ac:dyDescent="0.15">
      <c r="A1232" s="6"/>
      <c r="D1232" t="s">
        <v>90</v>
      </c>
      <c r="E1232" t="str">
        <f>E776&amp;".455"</f>
        <v>15.455</v>
      </c>
      <c r="F1232" t="s">
        <v>3038</v>
      </c>
      <c r="G1232" t="s">
        <v>1979</v>
      </c>
      <c r="I1232">
        <v>210</v>
      </c>
    </row>
    <row r="1233" spans="1:9" ht="15" customHeight="1" x14ac:dyDescent="0.15">
      <c r="A1233" s="6"/>
      <c r="D1233" t="s">
        <v>90</v>
      </c>
      <c r="E1233" t="str">
        <f>E776&amp;".456"</f>
        <v>15.456</v>
      </c>
      <c r="F1233" t="s">
        <v>3039</v>
      </c>
      <c r="G1233" t="s">
        <v>1979</v>
      </c>
      <c r="I1233">
        <v>210</v>
      </c>
    </row>
    <row r="1234" spans="1:9" ht="15" customHeight="1" x14ac:dyDescent="0.15">
      <c r="A1234" s="6"/>
      <c r="D1234" t="s">
        <v>90</v>
      </c>
      <c r="E1234" t="str">
        <f>E776&amp;".457"</f>
        <v>15.457</v>
      </c>
      <c r="F1234" t="s">
        <v>3040</v>
      </c>
      <c r="G1234" t="s">
        <v>1979</v>
      </c>
      <c r="I1234">
        <v>210</v>
      </c>
    </row>
    <row r="1235" spans="1:9" ht="15" customHeight="1" x14ac:dyDescent="0.15">
      <c r="A1235" s="6"/>
      <c r="D1235" t="s">
        <v>90</v>
      </c>
      <c r="E1235" t="str">
        <f>E776&amp;".458"</f>
        <v>15.458</v>
      </c>
      <c r="F1235" t="s">
        <v>3041</v>
      </c>
      <c r="G1235" t="s">
        <v>1979</v>
      </c>
      <c r="I1235">
        <v>210</v>
      </c>
    </row>
    <row r="1236" spans="1:9" ht="15" customHeight="1" x14ac:dyDescent="0.15">
      <c r="A1236" s="6"/>
      <c r="D1236" t="s">
        <v>90</v>
      </c>
      <c r="E1236" t="str">
        <f>E776&amp;".459"</f>
        <v>15.459</v>
      </c>
      <c r="F1236" t="s">
        <v>3042</v>
      </c>
      <c r="G1236" t="s">
        <v>1979</v>
      </c>
      <c r="I1236">
        <v>210</v>
      </c>
    </row>
    <row r="1237" spans="1:9" ht="15" customHeight="1" x14ac:dyDescent="0.15">
      <c r="A1237" s="6"/>
      <c r="D1237" t="s">
        <v>90</v>
      </c>
      <c r="E1237" t="str">
        <f>E776&amp;".460"</f>
        <v>15.460</v>
      </c>
      <c r="F1237" t="s">
        <v>3043</v>
      </c>
      <c r="G1237" t="s">
        <v>1979</v>
      </c>
      <c r="I1237">
        <v>210</v>
      </c>
    </row>
    <row r="1238" spans="1:9" ht="15" customHeight="1" x14ac:dyDescent="0.15">
      <c r="A1238" s="6"/>
      <c r="D1238" t="s">
        <v>90</v>
      </c>
      <c r="E1238" t="str">
        <f>E776&amp;".461"</f>
        <v>15.461</v>
      </c>
      <c r="F1238" t="s">
        <v>3044</v>
      </c>
      <c r="G1238" t="s">
        <v>1979</v>
      </c>
      <c r="I1238">
        <v>210</v>
      </c>
    </row>
    <row r="1239" spans="1:9" ht="15" customHeight="1" x14ac:dyDescent="0.15">
      <c r="A1239" s="6"/>
      <c r="D1239" t="s">
        <v>90</v>
      </c>
      <c r="E1239" t="str">
        <f>E776&amp;".462"</f>
        <v>15.462</v>
      </c>
      <c r="F1239" t="s">
        <v>3045</v>
      </c>
      <c r="G1239" t="s">
        <v>1979</v>
      </c>
      <c r="I1239">
        <v>210</v>
      </c>
    </row>
    <row r="1240" spans="1:9" ht="15" customHeight="1" x14ac:dyDescent="0.15">
      <c r="A1240" s="6"/>
      <c r="D1240" t="s">
        <v>90</v>
      </c>
      <c r="E1240" t="str">
        <f>E776&amp;".463"</f>
        <v>15.463</v>
      </c>
      <c r="F1240" t="s">
        <v>3046</v>
      </c>
      <c r="G1240" t="s">
        <v>1979</v>
      </c>
      <c r="I1240">
        <v>160</v>
      </c>
    </row>
    <row r="1241" spans="1:9" ht="15" customHeight="1" x14ac:dyDescent="0.15">
      <c r="A1241" s="6"/>
      <c r="D1241" t="s">
        <v>90</v>
      </c>
      <c r="E1241" t="str">
        <f>E776&amp;".464"</f>
        <v>15.464</v>
      </c>
      <c r="F1241" t="s">
        <v>3047</v>
      </c>
      <c r="G1241" t="s">
        <v>1979</v>
      </c>
      <c r="I1241">
        <v>170</v>
      </c>
    </row>
    <row r="1242" spans="1:9" ht="15" customHeight="1" x14ac:dyDescent="0.15">
      <c r="A1242" s="6"/>
      <c r="D1242" t="s">
        <v>90</v>
      </c>
      <c r="E1242" t="str">
        <f>E776&amp;".465"</f>
        <v>15.465</v>
      </c>
      <c r="F1242" t="s">
        <v>3048</v>
      </c>
      <c r="G1242" t="s">
        <v>1979</v>
      </c>
      <c r="I1242">
        <v>162</v>
      </c>
    </row>
    <row r="1243" spans="1:9" ht="15" customHeight="1" x14ac:dyDescent="0.15">
      <c r="A1243" s="6"/>
      <c r="D1243" t="s">
        <v>90</v>
      </c>
      <c r="E1243" t="str">
        <f>E776&amp;".466"</f>
        <v>15.466</v>
      </c>
      <c r="F1243" t="s">
        <v>3049</v>
      </c>
      <c r="G1243" t="s">
        <v>1979</v>
      </c>
      <c r="I1243">
        <v>178</v>
      </c>
    </row>
    <row r="1244" spans="1:9" ht="15" customHeight="1" x14ac:dyDescent="0.15">
      <c r="A1244" s="6"/>
      <c r="D1244" t="s">
        <v>90</v>
      </c>
      <c r="E1244" t="str">
        <f>E776&amp;".467"</f>
        <v>15.467</v>
      </c>
      <c r="F1244" t="s">
        <v>3050</v>
      </c>
      <c r="G1244" t="s">
        <v>1979</v>
      </c>
      <c r="I1244">
        <v>198</v>
      </c>
    </row>
    <row r="1245" spans="1:9" ht="15" customHeight="1" x14ac:dyDescent="0.15">
      <c r="A1245" s="6"/>
      <c r="D1245" t="s">
        <v>90</v>
      </c>
      <c r="E1245" t="str">
        <f>E776&amp;".468"</f>
        <v>15.468</v>
      </c>
      <c r="F1245" t="s">
        <v>3051</v>
      </c>
      <c r="G1245" t="s">
        <v>1979</v>
      </c>
      <c r="I1245">
        <v>198</v>
      </c>
    </row>
    <row r="1246" spans="1:9" ht="15" customHeight="1" x14ac:dyDescent="0.15">
      <c r="A1246" s="6"/>
      <c r="D1246" t="s">
        <v>90</v>
      </c>
      <c r="E1246" t="str">
        <f>E776&amp;".469"</f>
        <v>15.469</v>
      </c>
      <c r="F1246" t="s">
        <v>3052</v>
      </c>
      <c r="G1246" t="s">
        <v>1979</v>
      </c>
      <c r="I1246">
        <v>170</v>
      </c>
    </row>
    <row r="1247" spans="1:9" ht="15" customHeight="1" x14ac:dyDescent="0.15">
      <c r="A1247" s="6"/>
      <c r="D1247" t="s">
        <v>90</v>
      </c>
      <c r="E1247" t="str">
        <f>E776&amp;".470"</f>
        <v>15.470</v>
      </c>
      <c r="F1247" t="s">
        <v>3053</v>
      </c>
      <c r="G1247" t="s">
        <v>1979</v>
      </c>
      <c r="I1247">
        <v>180</v>
      </c>
    </row>
    <row r="1248" spans="1:9" ht="15" customHeight="1" x14ac:dyDescent="0.15">
      <c r="A1248" s="6"/>
      <c r="D1248" t="s">
        <v>90</v>
      </c>
      <c r="E1248" t="str">
        <f>E776&amp;".471"</f>
        <v>15.471</v>
      </c>
      <c r="F1248" t="s">
        <v>3054</v>
      </c>
      <c r="G1248" t="s">
        <v>1979</v>
      </c>
      <c r="I1248">
        <v>172</v>
      </c>
    </row>
    <row r="1249" spans="1:9" ht="15" customHeight="1" x14ac:dyDescent="0.15">
      <c r="A1249" s="6"/>
      <c r="D1249" t="s">
        <v>90</v>
      </c>
      <c r="E1249" t="str">
        <f>E776&amp;".472"</f>
        <v>15.472</v>
      </c>
      <c r="F1249" t="s">
        <v>3055</v>
      </c>
      <c r="G1249" t="s">
        <v>1979</v>
      </c>
      <c r="I1249">
        <v>200</v>
      </c>
    </row>
    <row r="1250" spans="1:9" ht="15" customHeight="1" x14ac:dyDescent="0.15">
      <c r="A1250" s="6"/>
      <c r="D1250" t="s">
        <v>90</v>
      </c>
      <c r="E1250" t="str">
        <f>E776&amp;".473"</f>
        <v>15.473</v>
      </c>
      <c r="F1250" t="s">
        <v>3056</v>
      </c>
      <c r="G1250" t="s">
        <v>1979</v>
      </c>
      <c r="I1250">
        <v>174.7</v>
      </c>
    </row>
    <row r="1251" spans="1:9" ht="15" customHeight="1" x14ac:dyDescent="0.15">
      <c r="A1251" s="6"/>
      <c r="D1251" t="s">
        <v>90</v>
      </c>
      <c r="E1251" t="str">
        <f>E776&amp;".474"</f>
        <v>15.474</v>
      </c>
      <c r="F1251" t="s">
        <v>3057</v>
      </c>
      <c r="G1251" t="s">
        <v>1979</v>
      </c>
      <c r="I1251">
        <v>0</v>
      </c>
    </row>
    <row r="1252" spans="1:9" ht="15" customHeight="1" x14ac:dyDescent="0.15">
      <c r="A1252" s="6"/>
      <c r="D1252" t="s">
        <v>90</v>
      </c>
      <c r="E1252" t="str">
        <f>E776&amp;".475"</f>
        <v>15.475</v>
      </c>
      <c r="F1252" t="s">
        <v>3058</v>
      </c>
      <c r="G1252" t="s">
        <v>1979</v>
      </c>
      <c r="I1252">
        <v>198</v>
      </c>
    </row>
    <row r="1253" spans="1:9" ht="15" customHeight="1" x14ac:dyDescent="0.15">
      <c r="A1253" s="6"/>
      <c r="D1253" t="s">
        <v>90</v>
      </c>
      <c r="E1253" t="str">
        <f>E776&amp;".476"</f>
        <v>15.476</v>
      </c>
      <c r="F1253" t="s">
        <v>3059</v>
      </c>
      <c r="G1253" t="s">
        <v>1979</v>
      </c>
      <c r="I1253">
        <v>230</v>
      </c>
    </row>
    <row r="1254" spans="1:9" ht="15" customHeight="1" x14ac:dyDescent="0.15">
      <c r="A1254" s="6"/>
      <c r="D1254" t="s">
        <v>90</v>
      </c>
      <c r="E1254" t="str">
        <f>E776&amp;".477"</f>
        <v>15.477</v>
      </c>
      <c r="F1254" t="s">
        <v>3060</v>
      </c>
      <c r="G1254" t="s">
        <v>1979</v>
      </c>
      <c r="I1254">
        <v>172</v>
      </c>
    </row>
    <row r="1255" spans="1:9" ht="15" customHeight="1" x14ac:dyDescent="0.15">
      <c r="A1255" s="6"/>
      <c r="D1255" t="s">
        <v>90</v>
      </c>
      <c r="E1255" t="str">
        <f>E776&amp;".478"</f>
        <v>15.478</v>
      </c>
      <c r="F1255" t="s">
        <v>3061</v>
      </c>
      <c r="G1255" t="s">
        <v>1979</v>
      </c>
      <c r="I1255">
        <v>240</v>
      </c>
    </row>
    <row r="1256" spans="1:9" ht="15" customHeight="1" x14ac:dyDescent="0.15">
      <c r="A1256" s="6"/>
      <c r="D1256" t="s">
        <v>90</v>
      </c>
      <c r="E1256" t="str">
        <f>E776&amp;".479"</f>
        <v>15.479</v>
      </c>
      <c r="F1256" t="s">
        <v>3062</v>
      </c>
      <c r="G1256" t="s">
        <v>1979</v>
      </c>
      <c r="I1256">
        <v>240</v>
      </c>
    </row>
    <row r="1257" spans="1:9" ht="15" customHeight="1" x14ac:dyDescent="0.15">
      <c r="A1257" s="6"/>
      <c r="D1257" t="s">
        <v>90</v>
      </c>
      <c r="E1257" t="str">
        <f>E776&amp;".480"</f>
        <v>15.480</v>
      </c>
      <c r="F1257" t="s">
        <v>3063</v>
      </c>
      <c r="G1257" t="s">
        <v>1979</v>
      </c>
      <c r="I1257">
        <v>198</v>
      </c>
    </row>
    <row r="1258" spans="1:9" ht="15" customHeight="1" x14ac:dyDescent="0.15">
      <c r="A1258" s="6"/>
      <c r="D1258" t="s">
        <v>90</v>
      </c>
      <c r="E1258" t="str">
        <f>E776&amp;".481"</f>
        <v>15.481</v>
      </c>
      <c r="F1258" t="s">
        <v>3064</v>
      </c>
      <c r="G1258" t="s">
        <v>1979</v>
      </c>
      <c r="I1258">
        <v>210</v>
      </c>
    </row>
    <row r="1259" spans="1:9" ht="15" customHeight="1" x14ac:dyDescent="0.15">
      <c r="A1259" s="6"/>
      <c r="D1259" t="s">
        <v>90</v>
      </c>
      <c r="E1259" t="str">
        <f>E776&amp;".482"</f>
        <v>15.482</v>
      </c>
      <c r="F1259" t="s">
        <v>3065</v>
      </c>
      <c r="G1259" t="s">
        <v>1979</v>
      </c>
      <c r="I1259">
        <v>173</v>
      </c>
    </row>
    <row r="1260" spans="1:9" ht="15" customHeight="1" x14ac:dyDescent="0.15">
      <c r="A1260" s="6"/>
      <c r="D1260" t="s">
        <v>90</v>
      </c>
      <c r="E1260" t="str">
        <f>E776&amp;".483"</f>
        <v>15.483</v>
      </c>
      <c r="F1260" t="s">
        <v>3066</v>
      </c>
      <c r="G1260" t="s">
        <v>1979</v>
      </c>
      <c r="I1260">
        <v>200</v>
      </c>
    </row>
    <row r="1261" spans="1:9" ht="15" customHeight="1" x14ac:dyDescent="0.15">
      <c r="A1261" s="6"/>
      <c r="D1261" t="s">
        <v>90</v>
      </c>
      <c r="E1261" t="str">
        <f>E776&amp;".484"</f>
        <v>15.484</v>
      </c>
      <c r="F1261" t="s">
        <v>3067</v>
      </c>
      <c r="G1261" t="s">
        <v>1979</v>
      </c>
      <c r="I1261">
        <v>162</v>
      </c>
    </row>
    <row r="1262" spans="1:9" ht="15" customHeight="1" x14ac:dyDescent="0.15">
      <c r="A1262" s="6"/>
      <c r="D1262" t="s">
        <v>90</v>
      </c>
      <c r="E1262" t="str">
        <f>E776&amp;".485"</f>
        <v>15.485</v>
      </c>
      <c r="F1262" t="s">
        <v>3068</v>
      </c>
      <c r="G1262" t="s">
        <v>1979</v>
      </c>
      <c r="I1262">
        <v>184</v>
      </c>
    </row>
    <row r="1263" spans="1:9" ht="15" customHeight="1" x14ac:dyDescent="0.15">
      <c r="A1263" s="6"/>
      <c r="D1263" t="s">
        <v>90</v>
      </c>
      <c r="E1263" t="str">
        <f>E776&amp;".486"</f>
        <v>15.486</v>
      </c>
      <c r="F1263" t="s">
        <v>3069</v>
      </c>
      <c r="G1263" t="s">
        <v>1979</v>
      </c>
      <c r="I1263">
        <v>173</v>
      </c>
    </row>
    <row r="1264" spans="1:9" ht="15" customHeight="1" x14ac:dyDescent="0.15">
      <c r="A1264" s="6"/>
      <c r="D1264" t="s">
        <v>90</v>
      </c>
      <c r="E1264" t="str">
        <f>E776&amp;".487"</f>
        <v>15.487</v>
      </c>
      <c r="F1264" t="s">
        <v>3070</v>
      </c>
      <c r="G1264" t="s">
        <v>1979</v>
      </c>
      <c r="I1264">
        <v>171</v>
      </c>
    </row>
    <row r="1265" spans="1:9" ht="15" customHeight="1" x14ac:dyDescent="0.15">
      <c r="A1265" s="6"/>
      <c r="D1265" t="s">
        <v>90</v>
      </c>
      <c r="E1265" t="str">
        <f>E776&amp;".488"</f>
        <v>15.488</v>
      </c>
      <c r="F1265" t="s">
        <v>3071</v>
      </c>
      <c r="G1265" t="s">
        <v>1979</v>
      </c>
      <c r="I1265">
        <v>240</v>
      </c>
    </row>
    <row r="1266" spans="1:9" ht="15" customHeight="1" x14ac:dyDescent="0.15">
      <c r="A1266" s="6"/>
      <c r="D1266" t="s">
        <v>90</v>
      </c>
      <c r="E1266" t="str">
        <f>E776&amp;".489"</f>
        <v>15.489</v>
      </c>
      <c r="F1266" t="s">
        <v>3072</v>
      </c>
      <c r="G1266" t="s">
        <v>1979</v>
      </c>
      <c r="I1266">
        <v>0</v>
      </c>
    </row>
    <row r="1267" spans="1:9" ht="15" customHeight="1" x14ac:dyDescent="0.15">
      <c r="A1267" s="6"/>
      <c r="D1267" t="s">
        <v>90</v>
      </c>
      <c r="E1267" t="str">
        <f>E776&amp;".490"</f>
        <v>15.490</v>
      </c>
      <c r="F1267" t="s">
        <v>3073</v>
      </c>
      <c r="G1267" t="s">
        <v>1979</v>
      </c>
      <c r="I1267">
        <v>0</v>
      </c>
    </row>
    <row r="1268" spans="1:9" ht="15" customHeight="1" x14ac:dyDescent="0.15">
      <c r="A1268" s="6"/>
      <c r="D1268" t="s">
        <v>90</v>
      </c>
      <c r="E1268" t="str">
        <f>E776&amp;".491"</f>
        <v>15.491</v>
      </c>
      <c r="F1268" t="s">
        <v>3074</v>
      </c>
      <c r="G1268" t="s">
        <v>1979</v>
      </c>
      <c r="I1268">
        <v>210</v>
      </c>
    </row>
    <row r="1269" spans="1:9" ht="15" customHeight="1" x14ac:dyDescent="0.15">
      <c r="A1269" s="6"/>
      <c r="D1269" t="s">
        <v>90</v>
      </c>
      <c r="E1269" t="str">
        <f>E776&amp;".492"</f>
        <v>15.492</v>
      </c>
      <c r="F1269" t="s">
        <v>3075</v>
      </c>
      <c r="G1269" t="s">
        <v>1979</v>
      </c>
      <c r="I1269">
        <v>0</v>
      </c>
    </row>
    <row r="1270" spans="1:9" ht="15" customHeight="1" x14ac:dyDescent="0.15">
      <c r="A1270" s="6"/>
      <c r="D1270" t="s">
        <v>90</v>
      </c>
      <c r="E1270" t="str">
        <f>E776&amp;".493"</f>
        <v>15.493</v>
      </c>
      <c r="F1270" t="s">
        <v>3076</v>
      </c>
      <c r="G1270" t="s">
        <v>1979</v>
      </c>
      <c r="I1270">
        <v>210</v>
      </c>
    </row>
    <row r="1271" spans="1:9" ht="15" customHeight="1" x14ac:dyDescent="0.15">
      <c r="A1271" s="6"/>
      <c r="D1271" t="s">
        <v>90</v>
      </c>
      <c r="E1271" t="str">
        <f>E776&amp;".494"</f>
        <v>15.494</v>
      </c>
      <c r="F1271" t="s">
        <v>3077</v>
      </c>
      <c r="G1271" t="s">
        <v>1979</v>
      </c>
      <c r="I1271">
        <v>0</v>
      </c>
    </row>
    <row r="1272" spans="1:9" ht="15" customHeight="1" x14ac:dyDescent="0.15">
      <c r="A1272" s="6"/>
      <c r="D1272" t="s">
        <v>90</v>
      </c>
      <c r="E1272" t="str">
        <f>E776&amp;".495"</f>
        <v>15.495</v>
      </c>
      <c r="F1272" t="s">
        <v>3078</v>
      </c>
      <c r="G1272" t="s">
        <v>1979</v>
      </c>
      <c r="I1272">
        <v>210</v>
      </c>
    </row>
    <row r="1273" spans="1:9" ht="15" customHeight="1" x14ac:dyDescent="0.15">
      <c r="A1273" s="6"/>
      <c r="D1273" t="s">
        <v>90</v>
      </c>
      <c r="E1273" t="str">
        <f>E776&amp;".496"</f>
        <v>15.496</v>
      </c>
      <c r="F1273" t="s">
        <v>3079</v>
      </c>
      <c r="G1273" t="s">
        <v>1979</v>
      </c>
      <c r="I1273">
        <v>250</v>
      </c>
    </row>
    <row r="1274" spans="1:9" ht="15" customHeight="1" x14ac:dyDescent="0.15">
      <c r="A1274" s="6"/>
      <c r="D1274" t="s">
        <v>90</v>
      </c>
      <c r="E1274" t="str">
        <f>E776&amp;".497"</f>
        <v>15.497</v>
      </c>
      <c r="F1274" t="s">
        <v>3080</v>
      </c>
      <c r="G1274" t="s">
        <v>1979</v>
      </c>
      <c r="I1274">
        <v>238</v>
      </c>
    </row>
    <row r="1275" spans="1:9" ht="15" customHeight="1" x14ac:dyDescent="0.15">
      <c r="A1275" s="6"/>
      <c r="D1275" t="s">
        <v>90</v>
      </c>
      <c r="E1275" t="str">
        <f>E776&amp;".498"</f>
        <v>15.498</v>
      </c>
      <c r="F1275" t="s">
        <v>3081</v>
      </c>
      <c r="G1275" t="s">
        <v>1979</v>
      </c>
      <c r="I1275">
        <v>250</v>
      </c>
    </row>
    <row r="1276" spans="1:9" ht="15" customHeight="1" x14ac:dyDescent="0.15">
      <c r="A1276" s="6"/>
      <c r="D1276" t="s">
        <v>90</v>
      </c>
      <c r="E1276" t="str">
        <f>E776&amp;".499"</f>
        <v>15.499</v>
      </c>
      <c r="F1276" t="s">
        <v>3082</v>
      </c>
      <c r="G1276" t="s">
        <v>1979</v>
      </c>
      <c r="I1276">
        <v>250</v>
      </c>
    </row>
    <row r="1277" spans="1:9" ht="15" customHeight="1" x14ac:dyDescent="0.15">
      <c r="A1277" s="6"/>
      <c r="D1277" t="s">
        <v>90</v>
      </c>
      <c r="E1277" t="str">
        <f>E776&amp;".500"</f>
        <v>15.500</v>
      </c>
      <c r="F1277" t="s">
        <v>3083</v>
      </c>
      <c r="G1277" t="s">
        <v>1979</v>
      </c>
      <c r="I1277">
        <v>245</v>
      </c>
    </row>
    <row r="1278" spans="1:9" ht="15" customHeight="1" x14ac:dyDescent="0.15">
      <c r="A1278" s="6"/>
      <c r="D1278" t="s">
        <v>90</v>
      </c>
      <c r="E1278" t="str">
        <f>E776&amp;".501"</f>
        <v>15.501</v>
      </c>
      <c r="F1278" t="s">
        <v>3084</v>
      </c>
      <c r="G1278" t="s">
        <v>1979</v>
      </c>
      <c r="I1278">
        <v>245</v>
      </c>
    </row>
    <row r="1279" spans="1:9" ht="15" customHeight="1" x14ac:dyDescent="0.15">
      <c r="A1279" s="6"/>
      <c r="D1279" t="s">
        <v>90</v>
      </c>
      <c r="E1279" t="str">
        <f>E776&amp;".502"</f>
        <v>15.502</v>
      </c>
      <c r="F1279" t="s">
        <v>3085</v>
      </c>
      <c r="G1279" t="s">
        <v>1979</v>
      </c>
      <c r="I1279">
        <v>250</v>
      </c>
    </row>
    <row r="1280" spans="1:9" ht="15" customHeight="1" x14ac:dyDescent="0.15">
      <c r="A1280" s="6"/>
      <c r="D1280" t="s">
        <v>90</v>
      </c>
      <c r="E1280" t="str">
        <f>E776&amp;".503"</f>
        <v>15.503</v>
      </c>
      <c r="F1280" t="s">
        <v>3086</v>
      </c>
      <c r="G1280" t="s">
        <v>1979</v>
      </c>
      <c r="I1280">
        <v>250</v>
      </c>
    </row>
    <row r="1281" spans="1:9" ht="15" customHeight="1" x14ac:dyDescent="0.15">
      <c r="A1281" s="6"/>
      <c r="D1281" t="s">
        <v>90</v>
      </c>
      <c r="E1281" t="str">
        <f>E776&amp;".504"</f>
        <v>15.504</v>
      </c>
      <c r="F1281" t="s">
        <v>3087</v>
      </c>
      <c r="G1281" t="s">
        <v>1979</v>
      </c>
      <c r="I1281">
        <v>250</v>
      </c>
    </row>
    <row r="1282" spans="1:9" ht="15" customHeight="1" x14ac:dyDescent="0.15">
      <c r="A1282" s="6"/>
      <c r="D1282" t="s">
        <v>90</v>
      </c>
      <c r="E1282" t="str">
        <f>E776&amp;".505"</f>
        <v>15.505</v>
      </c>
      <c r="F1282" t="s">
        <v>3088</v>
      </c>
      <c r="G1282" t="s">
        <v>1979</v>
      </c>
      <c r="I1282">
        <v>245</v>
      </c>
    </row>
    <row r="1283" spans="1:9" ht="15" customHeight="1" x14ac:dyDescent="0.15">
      <c r="A1283" s="6"/>
      <c r="D1283" t="s">
        <v>90</v>
      </c>
      <c r="E1283" t="str">
        <f>E776&amp;".506"</f>
        <v>15.506</v>
      </c>
      <c r="F1283" t="s">
        <v>3089</v>
      </c>
      <c r="G1283" t="s">
        <v>1979</v>
      </c>
      <c r="I1283">
        <v>245</v>
      </c>
    </row>
    <row r="1284" spans="1:9" ht="15" customHeight="1" x14ac:dyDescent="0.15">
      <c r="A1284" s="6"/>
      <c r="D1284" t="s">
        <v>90</v>
      </c>
      <c r="E1284" t="str">
        <f>E776&amp;".507"</f>
        <v>15.507</v>
      </c>
      <c r="F1284" t="s">
        <v>3090</v>
      </c>
      <c r="G1284" t="s">
        <v>1979</v>
      </c>
      <c r="I1284">
        <v>250</v>
      </c>
    </row>
    <row r="1285" spans="1:9" ht="15" customHeight="1" x14ac:dyDescent="0.15">
      <c r="A1285" s="6"/>
      <c r="D1285" t="s">
        <v>90</v>
      </c>
      <c r="E1285" t="str">
        <f>E776&amp;".508"</f>
        <v>15.508</v>
      </c>
      <c r="F1285" t="s">
        <v>3091</v>
      </c>
      <c r="G1285" t="s">
        <v>1979</v>
      </c>
      <c r="I1285">
        <v>245</v>
      </c>
    </row>
    <row r="1286" spans="1:9" ht="15" customHeight="1" x14ac:dyDescent="0.15">
      <c r="A1286" s="6"/>
      <c r="D1286" t="s">
        <v>90</v>
      </c>
      <c r="E1286" t="str">
        <f>E776&amp;".509"</f>
        <v>15.509</v>
      </c>
      <c r="F1286" t="s">
        <v>3092</v>
      </c>
      <c r="G1286" t="s">
        <v>1979</v>
      </c>
      <c r="I1286">
        <v>250</v>
      </c>
    </row>
    <row r="1287" spans="1:9" ht="15" customHeight="1" x14ac:dyDescent="0.15">
      <c r="A1287" s="6"/>
      <c r="D1287" t="s">
        <v>90</v>
      </c>
      <c r="E1287" t="str">
        <f>E776&amp;".510"</f>
        <v>15.510</v>
      </c>
      <c r="F1287" t="s">
        <v>3093</v>
      </c>
      <c r="G1287" t="s">
        <v>1979</v>
      </c>
      <c r="I1287">
        <v>234.066</v>
      </c>
    </row>
    <row r="1288" spans="1:9" ht="15" customHeight="1" x14ac:dyDescent="0.15">
      <c r="A1288" s="6"/>
      <c r="D1288" t="s">
        <v>90</v>
      </c>
      <c r="E1288" t="str">
        <f>E776&amp;".511"</f>
        <v>15.511</v>
      </c>
      <c r="F1288" t="s">
        <v>3094</v>
      </c>
      <c r="G1288" t="s">
        <v>1979</v>
      </c>
      <c r="I1288">
        <v>245</v>
      </c>
    </row>
    <row r="1289" spans="1:9" ht="15" customHeight="1" x14ac:dyDescent="0.15">
      <c r="A1289" s="6"/>
      <c r="D1289" t="s">
        <v>90</v>
      </c>
      <c r="E1289" t="str">
        <f>E776&amp;".512"</f>
        <v>15.512</v>
      </c>
      <c r="F1289" t="s">
        <v>3095</v>
      </c>
      <c r="G1289" t="s">
        <v>1979</v>
      </c>
      <c r="I1289">
        <v>250</v>
      </c>
    </row>
    <row r="1290" spans="1:9" ht="15" customHeight="1" x14ac:dyDescent="0.15">
      <c r="A1290" s="6"/>
      <c r="D1290" t="s">
        <v>90</v>
      </c>
      <c r="E1290" t="str">
        <f>E776&amp;".513"</f>
        <v>15.513</v>
      </c>
      <c r="F1290" t="s">
        <v>3096</v>
      </c>
      <c r="G1290" t="s">
        <v>1979</v>
      </c>
      <c r="I1290">
        <v>250</v>
      </c>
    </row>
    <row r="1291" spans="1:9" ht="15" customHeight="1" x14ac:dyDescent="0.15">
      <c r="A1291" s="6"/>
      <c r="D1291" t="s">
        <v>90</v>
      </c>
      <c r="E1291" t="str">
        <f>E776&amp;".514"</f>
        <v>15.514</v>
      </c>
      <c r="F1291" t="s">
        <v>3097</v>
      </c>
      <c r="G1291" t="s">
        <v>1979</v>
      </c>
      <c r="I1291">
        <v>245</v>
      </c>
    </row>
    <row r="1292" spans="1:9" ht="15" customHeight="1" x14ac:dyDescent="0.15">
      <c r="A1292" s="6"/>
      <c r="D1292" t="s">
        <v>90</v>
      </c>
      <c r="E1292" t="str">
        <f>E776&amp;".515"</f>
        <v>15.515</v>
      </c>
      <c r="F1292" t="s">
        <v>3098</v>
      </c>
      <c r="G1292" t="s">
        <v>1979</v>
      </c>
      <c r="I1292">
        <v>245</v>
      </c>
    </row>
    <row r="1293" spans="1:9" ht="15" customHeight="1" x14ac:dyDescent="0.15">
      <c r="A1293" s="6"/>
      <c r="D1293" t="s">
        <v>90</v>
      </c>
      <c r="E1293" t="str">
        <f>E776&amp;".516"</f>
        <v>15.516</v>
      </c>
      <c r="F1293" t="s">
        <v>3099</v>
      </c>
      <c r="G1293" t="s">
        <v>1979</v>
      </c>
      <c r="I1293">
        <v>245</v>
      </c>
    </row>
    <row r="1294" spans="1:9" ht="15" customHeight="1" x14ac:dyDescent="0.15">
      <c r="A1294" s="6"/>
      <c r="D1294" t="s">
        <v>90</v>
      </c>
      <c r="E1294" t="str">
        <f>E776&amp;".517"</f>
        <v>15.517</v>
      </c>
      <c r="F1294" t="s">
        <v>3100</v>
      </c>
      <c r="G1294" t="s">
        <v>1979</v>
      </c>
      <c r="I1294">
        <v>210</v>
      </c>
    </row>
    <row r="1295" spans="1:9" ht="15" customHeight="1" x14ac:dyDescent="0.15">
      <c r="A1295" s="6"/>
      <c r="D1295" t="s">
        <v>90</v>
      </c>
      <c r="E1295" t="str">
        <f>E776&amp;".518"</f>
        <v>15.518</v>
      </c>
      <c r="F1295" t="s">
        <v>3101</v>
      </c>
      <c r="G1295" t="s">
        <v>1979</v>
      </c>
      <c r="I1295">
        <v>164.35300000000001</v>
      </c>
    </row>
    <row r="1296" spans="1:9" ht="15" customHeight="1" x14ac:dyDescent="0.15">
      <c r="A1296" s="6"/>
      <c r="D1296" t="s">
        <v>90</v>
      </c>
      <c r="E1296" t="str">
        <f>E776&amp;".519"</f>
        <v>15.519</v>
      </c>
      <c r="F1296" t="s">
        <v>3102</v>
      </c>
      <c r="G1296" t="s">
        <v>1979</v>
      </c>
      <c r="I1296">
        <v>154.30699999999999</v>
      </c>
    </row>
    <row r="1297" spans="1:9" ht="15" customHeight="1" x14ac:dyDescent="0.15">
      <c r="A1297" s="6"/>
      <c r="D1297" t="s">
        <v>90</v>
      </c>
      <c r="E1297" t="str">
        <f>E776&amp;".520"</f>
        <v>15.520</v>
      </c>
      <c r="F1297" t="s">
        <v>3103</v>
      </c>
      <c r="G1297" t="s">
        <v>1979</v>
      </c>
      <c r="I1297">
        <v>221.2</v>
      </c>
    </row>
    <row r="1298" spans="1:9" ht="15" customHeight="1" x14ac:dyDescent="0.15">
      <c r="A1298" s="6"/>
      <c r="D1298" t="s">
        <v>90</v>
      </c>
      <c r="E1298" t="str">
        <f>E776&amp;".521"</f>
        <v>15.521</v>
      </c>
      <c r="F1298" t="s">
        <v>3104</v>
      </c>
      <c r="G1298" t="s">
        <v>1979</v>
      </c>
      <c r="I1298">
        <v>215</v>
      </c>
    </row>
    <row r="1299" spans="1:9" ht="15" customHeight="1" x14ac:dyDescent="0.15">
      <c r="A1299" s="6"/>
      <c r="D1299" t="s">
        <v>90</v>
      </c>
      <c r="E1299" t="str">
        <f>E776&amp;".522"</f>
        <v>15.522</v>
      </c>
      <c r="F1299" t="s">
        <v>3105</v>
      </c>
      <c r="G1299" t="s">
        <v>1979</v>
      </c>
      <c r="I1299">
        <v>220.8</v>
      </c>
    </row>
    <row r="1300" spans="1:9" ht="15" customHeight="1" x14ac:dyDescent="0.15">
      <c r="A1300" s="6"/>
      <c r="D1300" t="s">
        <v>90</v>
      </c>
      <c r="E1300" t="str">
        <f>E776&amp;".523"</f>
        <v>15.523</v>
      </c>
      <c r="F1300" t="s">
        <v>3106</v>
      </c>
      <c r="G1300" t="s">
        <v>1979</v>
      </c>
      <c r="I1300">
        <v>200</v>
      </c>
    </row>
    <row r="1301" spans="1:9" ht="15" customHeight="1" x14ac:dyDescent="0.15">
      <c r="A1301" s="6"/>
      <c r="D1301" t="s">
        <v>90</v>
      </c>
      <c r="E1301" t="str">
        <f>E776&amp;".524"</f>
        <v>15.524</v>
      </c>
      <c r="F1301" t="s">
        <v>3107</v>
      </c>
      <c r="G1301" t="s">
        <v>1979</v>
      </c>
      <c r="I1301">
        <v>220</v>
      </c>
    </row>
    <row r="1302" spans="1:9" ht="15" customHeight="1" x14ac:dyDescent="0.15">
      <c r="A1302" s="6"/>
      <c r="D1302" t="s">
        <v>90</v>
      </c>
      <c r="E1302" t="str">
        <f>E776&amp;".525"</f>
        <v>15.525</v>
      </c>
      <c r="F1302" t="s">
        <v>3108</v>
      </c>
      <c r="G1302" t="s">
        <v>1979</v>
      </c>
      <c r="I1302">
        <v>228.1</v>
      </c>
    </row>
    <row r="1303" spans="1:9" ht="15" customHeight="1" x14ac:dyDescent="0.15">
      <c r="A1303" s="6"/>
      <c r="D1303" t="s">
        <v>90</v>
      </c>
      <c r="E1303" t="str">
        <f>E776&amp;".526"</f>
        <v>15.526</v>
      </c>
      <c r="F1303" t="s">
        <v>3109</v>
      </c>
      <c r="G1303" t="s">
        <v>1979</v>
      </c>
      <c r="I1303">
        <v>226.8</v>
      </c>
    </row>
    <row r="1304" spans="1:9" ht="15" customHeight="1" x14ac:dyDescent="0.15">
      <c r="A1304" s="6"/>
      <c r="D1304" t="s">
        <v>90</v>
      </c>
      <c r="E1304" t="str">
        <f>E776&amp;".527"</f>
        <v>15.527</v>
      </c>
      <c r="F1304" t="s">
        <v>3110</v>
      </c>
      <c r="G1304" t="s">
        <v>1979</v>
      </c>
      <c r="I1304">
        <v>215</v>
      </c>
    </row>
    <row r="1305" spans="1:9" ht="15" customHeight="1" x14ac:dyDescent="0.15">
      <c r="A1305" s="6"/>
      <c r="D1305" t="s">
        <v>90</v>
      </c>
      <c r="E1305" t="str">
        <f>E776&amp;".528"</f>
        <v>15.528</v>
      </c>
      <c r="F1305" t="s">
        <v>3111</v>
      </c>
      <c r="G1305" t="s">
        <v>1979</v>
      </c>
      <c r="I1305">
        <v>238.221</v>
      </c>
    </row>
    <row r="1306" spans="1:9" ht="15" customHeight="1" x14ac:dyDescent="0.15">
      <c r="A1306" s="6"/>
      <c r="D1306" t="s">
        <v>90</v>
      </c>
      <c r="E1306" t="str">
        <f>E776&amp;".529"</f>
        <v>15.529</v>
      </c>
      <c r="F1306" t="s">
        <v>3112</v>
      </c>
      <c r="G1306" t="s">
        <v>1979</v>
      </c>
      <c r="I1306">
        <v>221.7</v>
      </c>
    </row>
    <row r="1307" spans="1:9" ht="15" customHeight="1" x14ac:dyDescent="0.15">
      <c r="A1307" s="6"/>
      <c r="D1307" t="s">
        <v>90</v>
      </c>
      <c r="E1307" t="str">
        <f>E776&amp;".530"</f>
        <v>15.530</v>
      </c>
      <c r="F1307" t="s">
        <v>3113</v>
      </c>
      <c r="G1307" t="s">
        <v>1979</v>
      </c>
      <c r="I1307">
        <v>228.21899999999999</v>
      </c>
    </row>
    <row r="1308" spans="1:9" ht="15" customHeight="1" x14ac:dyDescent="0.15">
      <c r="A1308" s="6"/>
      <c r="D1308" t="s">
        <v>90</v>
      </c>
      <c r="E1308" t="str">
        <f>E776&amp;".531"</f>
        <v>15.531</v>
      </c>
      <c r="F1308" t="s">
        <v>3114</v>
      </c>
      <c r="G1308" t="s">
        <v>1979</v>
      </c>
      <c r="I1308">
        <v>343</v>
      </c>
    </row>
    <row r="1309" spans="1:9" ht="15" customHeight="1" x14ac:dyDescent="0.15">
      <c r="A1309" s="6"/>
      <c r="D1309" t="s">
        <v>90</v>
      </c>
      <c r="E1309" t="str">
        <f>E776&amp;".532"</f>
        <v>15.532</v>
      </c>
      <c r="F1309" t="s">
        <v>3115</v>
      </c>
      <c r="G1309" t="s">
        <v>1979</v>
      </c>
      <c r="I1309">
        <v>230</v>
      </c>
    </row>
    <row r="1310" spans="1:9" ht="15" customHeight="1" x14ac:dyDescent="0.15">
      <c r="A1310" s="6"/>
      <c r="D1310" t="s">
        <v>90</v>
      </c>
      <c r="E1310" t="str">
        <f>E776&amp;".533"</f>
        <v>15.533</v>
      </c>
      <c r="F1310" t="s">
        <v>3116</v>
      </c>
      <c r="G1310" t="s">
        <v>1979</v>
      </c>
      <c r="I1310">
        <v>210</v>
      </c>
    </row>
    <row r="1311" spans="1:9" ht="15" customHeight="1" x14ac:dyDescent="0.15">
      <c r="A1311" s="6"/>
      <c r="D1311" t="s">
        <v>90</v>
      </c>
      <c r="E1311" t="str">
        <f>E776&amp;".534"</f>
        <v>15.534</v>
      </c>
      <c r="F1311" t="s">
        <v>3117</v>
      </c>
      <c r="G1311" t="s">
        <v>1979</v>
      </c>
      <c r="I1311">
        <v>204</v>
      </c>
    </row>
    <row r="1312" spans="1:9" ht="15" customHeight="1" x14ac:dyDescent="0.15">
      <c r="A1312" s="6"/>
      <c r="D1312" t="s">
        <v>90</v>
      </c>
      <c r="E1312" t="str">
        <f>E776&amp;".535"</f>
        <v>15.535</v>
      </c>
      <c r="F1312" t="s">
        <v>3118</v>
      </c>
      <c r="G1312" t="s">
        <v>1979</v>
      </c>
      <c r="I1312">
        <v>198.941</v>
      </c>
    </row>
    <row r="1313" spans="1:9" ht="15" customHeight="1" x14ac:dyDescent="0.15">
      <c r="A1313" s="6"/>
      <c r="D1313" t="s">
        <v>90</v>
      </c>
      <c r="E1313" t="str">
        <f>E776&amp;".536"</f>
        <v>15.536</v>
      </c>
      <c r="F1313" t="s">
        <v>3119</v>
      </c>
      <c r="G1313" t="s">
        <v>1979</v>
      </c>
      <c r="I1313">
        <v>229.4</v>
      </c>
    </row>
    <row r="1314" spans="1:9" ht="15" customHeight="1" x14ac:dyDescent="0.15">
      <c r="A1314" s="6"/>
      <c r="D1314" t="s">
        <v>90</v>
      </c>
      <c r="E1314" t="str">
        <f>E776&amp;".537"</f>
        <v>15.537</v>
      </c>
      <c r="F1314" t="s">
        <v>3120</v>
      </c>
      <c r="G1314" t="s">
        <v>1979</v>
      </c>
      <c r="I1314">
        <v>239.678</v>
      </c>
    </row>
    <row r="1315" spans="1:9" ht="15" customHeight="1" x14ac:dyDescent="0.15">
      <c r="A1315" s="6"/>
      <c r="D1315" t="s">
        <v>90</v>
      </c>
      <c r="E1315" t="str">
        <f>E776&amp;".538"</f>
        <v>15.538</v>
      </c>
      <c r="F1315" t="s">
        <v>3121</v>
      </c>
      <c r="G1315" t="s">
        <v>1979</v>
      </c>
      <c r="I1315">
        <v>247.75200000000001</v>
      </c>
    </row>
    <row r="1316" spans="1:9" ht="15" customHeight="1" x14ac:dyDescent="0.15">
      <c r="A1316" s="6"/>
      <c r="D1316" t="s">
        <v>90</v>
      </c>
      <c r="E1316" t="str">
        <f>E776&amp;".539"</f>
        <v>15.539</v>
      </c>
      <c r="F1316" t="s">
        <v>3122</v>
      </c>
      <c r="G1316" t="s">
        <v>1979</v>
      </c>
      <c r="I1316">
        <v>268.82</v>
      </c>
    </row>
    <row r="1317" spans="1:9" ht="15" customHeight="1" x14ac:dyDescent="0.15">
      <c r="A1317" s="6"/>
      <c r="D1317" t="s">
        <v>90</v>
      </c>
      <c r="E1317" t="str">
        <f>E776&amp;".540"</f>
        <v>15.540</v>
      </c>
      <c r="F1317" t="s">
        <v>3123</v>
      </c>
      <c r="G1317" t="s">
        <v>1979</v>
      </c>
      <c r="I1317">
        <v>188.304</v>
      </c>
    </row>
    <row r="1318" spans="1:9" ht="15" customHeight="1" x14ac:dyDescent="0.15">
      <c r="A1318" s="6"/>
      <c r="D1318" t="s">
        <v>90</v>
      </c>
      <c r="E1318" t="str">
        <f>E776&amp;".541"</f>
        <v>15.541</v>
      </c>
      <c r="F1318" t="s">
        <v>3124</v>
      </c>
      <c r="G1318" t="s">
        <v>1979</v>
      </c>
      <c r="I1318">
        <v>169.316</v>
      </c>
    </row>
    <row r="1319" spans="1:9" ht="15" customHeight="1" x14ac:dyDescent="0.15">
      <c r="A1319" s="6"/>
      <c r="D1319" t="s">
        <v>90</v>
      </c>
      <c r="E1319" t="str">
        <f>E776&amp;".542"</f>
        <v>15.542</v>
      </c>
      <c r="F1319" t="s">
        <v>3125</v>
      </c>
      <c r="G1319" t="s">
        <v>1979</v>
      </c>
      <c r="I1319">
        <v>184.131</v>
      </c>
    </row>
    <row r="1320" spans="1:9" ht="15" customHeight="1" x14ac:dyDescent="0.15">
      <c r="A1320" s="6"/>
      <c r="D1320" t="s">
        <v>90</v>
      </c>
      <c r="E1320" t="str">
        <f>E776&amp;".543"</f>
        <v>15.543</v>
      </c>
      <c r="F1320" t="s">
        <v>3126</v>
      </c>
      <c r="G1320" t="s">
        <v>1979</v>
      </c>
      <c r="I1320">
        <v>189.95400000000001</v>
      </c>
    </row>
    <row r="1321" spans="1:9" ht="15" customHeight="1" x14ac:dyDescent="0.15">
      <c r="A1321" s="6"/>
      <c r="D1321" t="s">
        <v>90</v>
      </c>
      <c r="E1321" t="str">
        <f>E776&amp;".544"</f>
        <v>15.544</v>
      </c>
      <c r="F1321" t="s">
        <v>3127</v>
      </c>
      <c r="G1321" t="s">
        <v>1979</v>
      </c>
      <c r="I1321">
        <v>160.05099999999999</v>
      </c>
    </row>
    <row r="1322" spans="1:9" ht="15" customHeight="1" x14ac:dyDescent="0.15">
      <c r="A1322" s="6"/>
      <c r="D1322" t="s">
        <v>90</v>
      </c>
      <c r="E1322" t="str">
        <f>E776&amp;".545"</f>
        <v>15.545</v>
      </c>
      <c r="F1322" t="s">
        <v>3128</v>
      </c>
      <c r="G1322" t="s">
        <v>1979</v>
      </c>
      <c r="I1322">
        <v>252.29499999999999</v>
      </c>
    </row>
    <row r="1323" spans="1:9" ht="15" customHeight="1" x14ac:dyDescent="0.15">
      <c r="A1323" s="6"/>
      <c r="D1323" t="s">
        <v>90</v>
      </c>
      <c r="E1323" t="str">
        <f>E776&amp;".546"</f>
        <v>15.546</v>
      </c>
      <c r="F1323" t="s">
        <v>3129</v>
      </c>
      <c r="G1323" t="s">
        <v>1979</v>
      </c>
      <c r="I1323">
        <v>252.77799999999999</v>
      </c>
    </row>
    <row r="1324" spans="1:9" ht="15" customHeight="1" x14ac:dyDescent="0.15">
      <c r="A1324" s="6"/>
      <c r="D1324" t="s">
        <v>90</v>
      </c>
      <c r="E1324" t="str">
        <f>E776&amp;".547"</f>
        <v>15.547</v>
      </c>
      <c r="F1324" t="s">
        <v>3130</v>
      </c>
      <c r="G1324" t="s">
        <v>1979</v>
      </c>
      <c r="I1324">
        <v>261.54599999999999</v>
      </c>
    </row>
    <row r="1325" spans="1:9" ht="15" customHeight="1" x14ac:dyDescent="0.15">
      <c r="A1325" s="6"/>
      <c r="D1325" t="s">
        <v>90</v>
      </c>
      <c r="E1325" t="str">
        <f>E776&amp;".548"</f>
        <v>15.548</v>
      </c>
      <c r="F1325" t="s">
        <v>3131</v>
      </c>
      <c r="G1325" t="s">
        <v>1979</v>
      </c>
      <c r="I1325">
        <v>250.09200000000001</v>
      </c>
    </row>
    <row r="1326" spans="1:9" ht="15" customHeight="1" x14ac:dyDescent="0.15">
      <c r="A1326" s="6"/>
      <c r="D1326" t="s">
        <v>90</v>
      </c>
      <c r="E1326" t="str">
        <f>E776&amp;".549"</f>
        <v>15.549</v>
      </c>
      <c r="F1326" t="s">
        <v>3132</v>
      </c>
      <c r="G1326" t="s">
        <v>1979</v>
      </c>
      <c r="I1326">
        <v>248.56</v>
      </c>
    </row>
    <row r="1327" spans="1:9" ht="15" customHeight="1" x14ac:dyDescent="0.15">
      <c r="A1327" s="6"/>
      <c r="D1327" t="s">
        <v>90</v>
      </c>
      <c r="E1327" t="str">
        <f>E776&amp;".550"</f>
        <v>15.550</v>
      </c>
      <c r="F1327" t="s">
        <v>3133</v>
      </c>
      <c r="G1327" t="s">
        <v>1979</v>
      </c>
      <c r="I1327">
        <v>248.60499999999999</v>
      </c>
    </row>
    <row r="1328" spans="1:9" ht="15" customHeight="1" x14ac:dyDescent="0.15">
      <c r="A1328" s="6"/>
      <c r="D1328" t="s">
        <v>90</v>
      </c>
      <c r="E1328" t="str">
        <f>E776&amp;".551"</f>
        <v>15.551</v>
      </c>
      <c r="F1328" t="s">
        <v>3134</v>
      </c>
      <c r="G1328" t="s">
        <v>1979</v>
      </c>
      <c r="I1328">
        <v>243.018</v>
      </c>
    </row>
    <row r="1329" spans="1:9" ht="15" customHeight="1" x14ac:dyDescent="0.15">
      <c r="A1329" s="6"/>
      <c r="D1329" t="s">
        <v>90</v>
      </c>
      <c r="E1329" t="str">
        <f>E776&amp;".552"</f>
        <v>15.552</v>
      </c>
      <c r="F1329" t="s">
        <v>3135</v>
      </c>
      <c r="G1329" t="s">
        <v>1979</v>
      </c>
      <c r="I1329">
        <v>228.44200000000001</v>
      </c>
    </row>
    <row r="1330" spans="1:9" ht="15" customHeight="1" x14ac:dyDescent="0.15">
      <c r="A1330" s="6"/>
      <c r="D1330" t="s">
        <v>90</v>
      </c>
      <c r="E1330" t="str">
        <f>E776&amp;".553"</f>
        <v>15.553</v>
      </c>
      <c r="F1330" t="s">
        <v>3136</v>
      </c>
      <c r="G1330" t="s">
        <v>1979</v>
      </c>
      <c r="I1330">
        <v>243.42599999999999</v>
      </c>
    </row>
    <row r="1331" spans="1:9" ht="15" customHeight="1" x14ac:dyDescent="0.15">
      <c r="A1331" s="6"/>
      <c r="D1331" t="s">
        <v>90</v>
      </c>
      <c r="E1331" t="str">
        <f>E776&amp;".554"</f>
        <v>15.554</v>
      </c>
      <c r="F1331" t="s">
        <v>3137</v>
      </c>
      <c r="G1331" t="s">
        <v>1979</v>
      </c>
      <c r="I1331">
        <v>244.70099999999999</v>
      </c>
    </row>
    <row r="1332" spans="1:9" ht="15" customHeight="1" x14ac:dyDescent="0.15">
      <c r="A1332" s="6"/>
      <c r="D1332" t="s">
        <v>90</v>
      </c>
      <c r="E1332" t="str">
        <f>E776&amp;".555"</f>
        <v>15.555</v>
      </c>
      <c r="F1332" t="s">
        <v>3138</v>
      </c>
      <c r="G1332" t="s">
        <v>1979</v>
      </c>
      <c r="I1332">
        <v>250.43</v>
      </c>
    </row>
    <row r="1333" spans="1:9" ht="15" customHeight="1" x14ac:dyDescent="0.15">
      <c r="A1333" s="6"/>
      <c r="D1333" t="s">
        <v>90</v>
      </c>
      <c r="E1333" t="str">
        <f>E776&amp;".556"</f>
        <v>15.556</v>
      </c>
      <c r="F1333" t="s">
        <v>3139</v>
      </c>
      <c r="G1333" t="s">
        <v>1979</v>
      </c>
      <c r="I1333">
        <v>250.43</v>
      </c>
    </row>
    <row r="1334" spans="1:9" ht="15" customHeight="1" x14ac:dyDescent="0.15">
      <c r="A1334" s="6"/>
      <c r="D1334" t="s">
        <v>90</v>
      </c>
      <c r="E1334" t="str">
        <f>E776&amp;".557"</f>
        <v>15.557</v>
      </c>
      <c r="F1334" t="s">
        <v>3140</v>
      </c>
      <c r="G1334" t="s">
        <v>1979</v>
      </c>
      <c r="I1334">
        <v>246.756</v>
      </c>
    </row>
    <row r="1335" spans="1:9" ht="15" customHeight="1" x14ac:dyDescent="0.15">
      <c r="A1335" s="6"/>
      <c r="D1335" t="s">
        <v>90</v>
      </c>
      <c r="E1335" t="str">
        <f>E776&amp;".558"</f>
        <v>15.558</v>
      </c>
      <c r="F1335" t="s">
        <v>3141</v>
      </c>
      <c r="G1335" t="s">
        <v>1979</v>
      </c>
      <c r="I1335">
        <v>250.55799999999999</v>
      </c>
    </row>
    <row r="1336" spans="1:9" ht="15" customHeight="1" x14ac:dyDescent="0.15">
      <c r="A1336" s="6"/>
      <c r="D1336" t="s">
        <v>90</v>
      </c>
      <c r="E1336" t="str">
        <f>E776&amp;".559"</f>
        <v>15.559</v>
      </c>
      <c r="F1336" t="s">
        <v>3142</v>
      </c>
      <c r="G1336" t="s">
        <v>1979</v>
      </c>
      <c r="I1336">
        <v>249.07499999999999</v>
      </c>
    </row>
    <row r="1337" spans="1:9" ht="15" customHeight="1" x14ac:dyDescent="0.15">
      <c r="A1337" s="6"/>
      <c r="D1337" t="s">
        <v>90</v>
      </c>
      <c r="E1337" t="str">
        <f>E776&amp;".560"</f>
        <v>15.560</v>
      </c>
      <c r="F1337" t="s">
        <v>3143</v>
      </c>
      <c r="G1337" t="s">
        <v>1979</v>
      </c>
      <c r="I1337">
        <v>247.43</v>
      </c>
    </row>
    <row r="1338" spans="1:9" ht="15" customHeight="1" x14ac:dyDescent="0.15">
      <c r="A1338" s="6"/>
      <c r="D1338" t="s">
        <v>90</v>
      </c>
      <c r="E1338" t="str">
        <f>E776&amp;".561"</f>
        <v>15.561</v>
      </c>
      <c r="F1338" t="s">
        <v>3144</v>
      </c>
      <c r="G1338" t="s">
        <v>1979</v>
      </c>
      <c r="I1338">
        <v>246.62100000000001</v>
      </c>
    </row>
    <row r="1339" spans="1:9" ht="15" customHeight="1" x14ac:dyDescent="0.15">
      <c r="A1339" s="6"/>
      <c r="D1339" t="s">
        <v>90</v>
      </c>
      <c r="E1339" t="str">
        <f>E776&amp;".562"</f>
        <v>15.562</v>
      </c>
      <c r="F1339" t="s">
        <v>3145</v>
      </c>
      <c r="G1339" t="s">
        <v>1979</v>
      </c>
      <c r="I1339">
        <v>247.44900000000001</v>
      </c>
    </row>
    <row r="1340" spans="1:9" ht="15" customHeight="1" x14ac:dyDescent="0.15">
      <c r="A1340" s="6"/>
      <c r="D1340" t="s">
        <v>90</v>
      </c>
      <c r="E1340" t="str">
        <f>E776&amp;".563"</f>
        <v>15.563</v>
      </c>
      <c r="F1340" t="s">
        <v>3146</v>
      </c>
      <c r="G1340" t="s">
        <v>1979</v>
      </c>
      <c r="I1340">
        <v>253.172</v>
      </c>
    </row>
    <row r="1341" spans="1:9" ht="15" customHeight="1" x14ac:dyDescent="0.15">
      <c r="A1341" s="6"/>
      <c r="D1341" t="s">
        <v>90</v>
      </c>
      <c r="E1341" t="str">
        <f>E776&amp;".564"</f>
        <v>15.564</v>
      </c>
      <c r="F1341" t="s">
        <v>3147</v>
      </c>
      <c r="G1341" t="s">
        <v>1979</v>
      </c>
      <c r="I1341">
        <v>228.00800000000001</v>
      </c>
    </row>
    <row r="1342" spans="1:9" ht="15" customHeight="1" x14ac:dyDescent="0.15">
      <c r="A1342" s="6"/>
      <c r="D1342" t="s">
        <v>90</v>
      </c>
      <c r="E1342" t="str">
        <f>E776&amp;".565"</f>
        <v>15.565</v>
      </c>
      <c r="F1342" t="s">
        <v>3148</v>
      </c>
      <c r="G1342" t="s">
        <v>1979</v>
      </c>
      <c r="I1342">
        <v>242.8</v>
      </c>
    </row>
    <row r="1343" spans="1:9" ht="15" customHeight="1" x14ac:dyDescent="0.15">
      <c r="A1343" s="6"/>
      <c r="D1343" t="s">
        <v>90</v>
      </c>
      <c r="E1343" t="str">
        <f>E776&amp;".566"</f>
        <v>15.566</v>
      </c>
      <c r="F1343" t="s">
        <v>3149</v>
      </c>
      <c r="G1343" t="s">
        <v>1979</v>
      </c>
      <c r="I1343">
        <v>242.773</v>
      </c>
    </row>
    <row r="1344" spans="1:9" ht="15" customHeight="1" x14ac:dyDescent="0.15">
      <c r="A1344" s="6"/>
      <c r="D1344" t="s">
        <v>90</v>
      </c>
      <c r="E1344" t="str">
        <f>E776&amp;".567"</f>
        <v>15.567</v>
      </c>
      <c r="F1344" t="s">
        <v>3150</v>
      </c>
      <c r="G1344" t="s">
        <v>1979</v>
      </c>
      <c r="I1344">
        <v>177.35900000000001</v>
      </c>
    </row>
    <row r="1345" spans="1:9" ht="15" customHeight="1" x14ac:dyDescent="0.15">
      <c r="A1345" s="6"/>
      <c r="D1345" t="s">
        <v>90</v>
      </c>
      <c r="E1345" t="str">
        <f>E776&amp;".568"</f>
        <v>15.568</v>
      </c>
      <c r="F1345" t="s">
        <v>3151</v>
      </c>
      <c r="G1345" t="s">
        <v>1979</v>
      </c>
      <c r="I1345">
        <v>179.95</v>
      </c>
    </row>
    <row r="1346" spans="1:9" ht="15" customHeight="1" x14ac:dyDescent="0.15">
      <c r="A1346" s="6"/>
      <c r="D1346" t="s">
        <v>90</v>
      </c>
      <c r="E1346" t="str">
        <f>E776&amp;".569"</f>
        <v>15.569</v>
      </c>
      <c r="F1346" t="s">
        <v>3152</v>
      </c>
      <c r="G1346" t="s">
        <v>1979</v>
      </c>
      <c r="I1346">
        <v>188.21</v>
      </c>
    </row>
    <row r="1347" spans="1:9" ht="15" customHeight="1" x14ac:dyDescent="0.15">
      <c r="A1347" s="6"/>
      <c r="D1347" t="s">
        <v>90</v>
      </c>
      <c r="E1347" t="str">
        <f>E776&amp;".570"</f>
        <v>15.570</v>
      </c>
      <c r="F1347" t="s">
        <v>3153</v>
      </c>
      <c r="G1347" t="s">
        <v>1979</v>
      </c>
      <c r="I1347">
        <v>179.94200000000001</v>
      </c>
    </row>
    <row r="1348" spans="1:9" ht="15" customHeight="1" x14ac:dyDescent="0.15">
      <c r="A1348" s="6"/>
      <c r="D1348" t="s">
        <v>90</v>
      </c>
      <c r="E1348" t="str">
        <f>E776&amp;".571"</f>
        <v>15.571</v>
      </c>
      <c r="F1348" t="s">
        <v>3154</v>
      </c>
      <c r="G1348" t="s">
        <v>1979</v>
      </c>
      <c r="I1348">
        <v>188.51</v>
      </c>
    </row>
    <row r="1349" spans="1:9" ht="15" customHeight="1" x14ac:dyDescent="0.15">
      <c r="A1349" s="6"/>
      <c r="D1349" t="s">
        <v>90</v>
      </c>
      <c r="E1349" t="str">
        <f>E776&amp;".572"</f>
        <v>15.572</v>
      </c>
      <c r="F1349" t="s">
        <v>3155</v>
      </c>
      <c r="G1349" t="s">
        <v>1979</v>
      </c>
      <c r="I1349">
        <v>228.7</v>
      </c>
    </row>
    <row r="1350" spans="1:9" ht="15" customHeight="1" x14ac:dyDescent="0.15">
      <c r="A1350" s="6"/>
      <c r="D1350" t="s">
        <v>90</v>
      </c>
      <c r="E1350" t="str">
        <f>E776&amp;".573"</f>
        <v>15.573</v>
      </c>
      <c r="F1350" t="s">
        <v>3156</v>
      </c>
      <c r="G1350" t="s">
        <v>1979</v>
      </c>
      <c r="I1350">
        <v>250.83600000000001</v>
      </c>
    </row>
    <row r="1351" spans="1:9" ht="15" customHeight="1" x14ac:dyDescent="0.15">
      <c r="A1351" s="6"/>
      <c r="D1351" t="s">
        <v>90</v>
      </c>
      <c r="E1351" t="str">
        <f>E776&amp;".574"</f>
        <v>15.574</v>
      </c>
      <c r="F1351" t="s">
        <v>3157</v>
      </c>
      <c r="G1351" t="s">
        <v>1979</v>
      </c>
      <c r="I1351">
        <v>196.37700000000001</v>
      </c>
    </row>
    <row r="1352" spans="1:9" ht="15" customHeight="1" x14ac:dyDescent="0.15">
      <c r="A1352" s="6"/>
      <c r="D1352" t="s">
        <v>90</v>
      </c>
      <c r="E1352" t="str">
        <f>E776&amp;".575"</f>
        <v>15.575</v>
      </c>
      <c r="F1352" t="s">
        <v>3158</v>
      </c>
      <c r="G1352" t="s">
        <v>1979</v>
      </c>
      <c r="I1352">
        <v>210.001</v>
      </c>
    </row>
    <row r="1353" spans="1:9" ht="15" customHeight="1" x14ac:dyDescent="0.15">
      <c r="A1353" s="6"/>
      <c r="D1353" t="s">
        <v>90</v>
      </c>
      <c r="E1353" t="str">
        <f>E776&amp;".576"</f>
        <v>15.576</v>
      </c>
      <c r="F1353" t="s">
        <v>3159</v>
      </c>
      <c r="G1353" t="s">
        <v>1979</v>
      </c>
      <c r="I1353">
        <v>210.006</v>
      </c>
    </row>
    <row r="1354" spans="1:9" ht="15" customHeight="1" x14ac:dyDescent="0.15">
      <c r="A1354" s="6"/>
      <c r="D1354" t="s">
        <v>90</v>
      </c>
      <c r="E1354" t="str">
        <f>E776&amp;".577"</f>
        <v>15.577</v>
      </c>
      <c r="F1354" t="s">
        <v>3160</v>
      </c>
      <c r="G1354" t="s">
        <v>1979</v>
      </c>
      <c r="I1354">
        <v>0</v>
      </c>
    </row>
    <row r="1355" spans="1:9" ht="15" customHeight="1" x14ac:dyDescent="0.15">
      <c r="A1355" s="6"/>
      <c r="D1355" t="s">
        <v>90</v>
      </c>
      <c r="E1355" t="str">
        <f>E776&amp;".578"</f>
        <v>15.578</v>
      </c>
      <c r="F1355" t="s">
        <v>3161</v>
      </c>
      <c r="G1355" t="s">
        <v>1979</v>
      </c>
      <c r="I1355">
        <v>210</v>
      </c>
    </row>
    <row r="1356" spans="1:9" ht="15" customHeight="1" x14ac:dyDescent="0.15">
      <c r="A1356" s="6"/>
      <c r="D1356" t="s">
        <v>90</v>
      </c>
      <c r="E1356" t="str">
        <f>E776&amp;".579"</f>
        <v>15.579</v>
      </c>
      <c r="F1356" t="s">
        <v>3162</v>
      </c>
      <c r="G1356" t="s">
        <v>1979</v>
      </c>
      <c r="I1356">
        <v>210.00200000000001</v>
      </c>
    </row>
    <row r="1357" spans="1:9" ht="15" customHeight="1" x14ac:dyDescent="0.15">
      <c r="A1357" s="6"/>
      <c r="D1357" t="s">
        <v>90</v>
      </c>
      <c r="E1357" t="str">
        <f>E776&amp;".580"</f>
        <v>15.580</v>
      </c>
      <c r="F1357" t="s">
        <v>3163</v>
      </c>
      <c r="G1357" t="s">
        <v>1979</v>
      </c>
      <c r="I1357">
        <v>209.999</v>
      </c>
    </row>
    <row r="1358" spans="1:9" ht="15" customHeight="1" x14ac:dyDescent="0.15">
      <c r="A1358" s="6"/>
      <c r="D1358" t="s">
        <v>90</v>
      </c>
      <c r="E1358" t="str">
        <f>E776&amp;".581"</f>
        <v>15.581</v>
      </c>
      <c r="F1358" t="s">
        <v>3164</v>
      </c>
      <c r="G1358" t="s">
        <v>1979</v>
      </c>
      <c r="I1358">
        <v>209.995</v>
      </c>
    </row>
    <row r="1359" spans="1:9" ht="15" customHeight="1" x14ac:dyDescent="0.15">
      <c r="A1359" s="6"/>
      <c r="D1359" t="s">
        <v>90</v>
      </c>
      <c r="E1359" t="str">
        <f>E776&amp;".582"</f>
        <v>15.582</v>
      </c>
      <c r="F1359" t="s">
        <v>3165</v>
      </c>
      <c r="G1359" t="s">
        <v>1979</v>
      </c>
      <c r="I1359">
        <v>0</v>
      </c>
    </row>
    <row r="1360" spans="1:9" ht="15" customHeight="1" x14ac:dyDescent="0.15">
      <c r="A1360" s="6"/>
      <c r="D1360" t="s">
        <v>90</v>
      </c>
      <c r="E1360" t="str">
        <f>E776&amp;".583"</f>
        <v>15.583</v>
      </c>
      <c r="F1360" t="s">
        <v>3166</v>
      </c>
      <c r="G1360" t="s">
        <v>1979</v>
      </c>
      <c r="I1360">
        <v>230.999</v>
      </c>
    </row>
    <row r="1361" spans="1:9" ht="15" customHeight="1" x14ac:dyDescent="0.15">
      <c r="A1361" s="6"/>
      <c r="D1361" t="s">
        <v>90</v>
      </c>
      <c r="E1361" t="str">
        <f>E776&amp;".584"</f>
        <v>15.584</v>
      </c>
      <c r="F1361" t="s">
        <v>3167</v>
      </c>
      <c r="G1361" t="s">
        <v>1979</v>
      </c>
      <c r="I1361">
        <v>203.995</v>
      </c>
    </row>
    <row r="1362" spans="1:9" ht="15" customHeight="1" x14ac:dyDescent="0.15">
      <c r="A1362" s="6"/>
      <c r="D1362" t="s">
        <v>90</v>
      </c>
      <c r="E1362" t="str">
        <f>E776&amp;".585"</f>
        <v>15.585</v>
      </c>
      <c r="F1362" t="s">
        <v>3168</v>
      </c>
      <c r="G1362" t="s">
        <v>1979</v>
      </c>
      <c r="I1362">
        <v>250.52600000000001</v>
      </c>
    </row>
    <row r="1363" spans="1:9" ht="15" customHeight="1" x14ac:dyDescent="0.15">
      <c r="A1363" s="6"/>
      <c r="D1363" t="s">
        <v>90</v>
      </c>
      <c r="E1363" t="str">
        <f>E776&amp;".586"</f>
        <v>15.586</v>
      </c>
      <c r="F1363" t="s">
        <v>3169</v>
      </c>
      <c r="G1363" t="s">
        <v>1979</v>
      </c>
      <c r="I1363">
        <v>246.19499999999999</v>
      </c>
    </row>
    <row r="1364" spans="1:9" ht="15" customHeight="1" x14ac:dyDescent="0.15">
      <c r="A1364" s="6"/>
      <c r="D1364" t="s">
        <v>90</v>
      </c>
      <c r="E1364" t="str">
        <f>E776&amp;".587"</f>
        <v>15.587</v>
      </c>
      <c r="F1364" t="s">
        <v>3170</v>
      </c>
      <c r="G1364" t="s">
        <v>1979</v>
      </c>
      <c r="I1364">
        <v>242.755</v>
      </c>
    </row>
    <row r="1365" spans="1:9" ht="15" customHeight="1" x14ac:dyDescent="0.15">
      <c r="A1365" s="6"/>
      <c r="D1365" t="s">
        <v>90</v>
      </c>
      <c r="E1365" t="str">
        <f>E776&amp;".588"</f>
        <v>15.588</v>
      </c>
      <c r="F1365" t="s">
        <v>3171</v>
      </c>
      <c r="G1365" t="s">
        <v>1979</v>
      </c>
      <c r="I1365">
        <v>263.12</v>
      </c>
    </row>
    <row r="1366" spans="1:9" ht="15" customHeight="1" x14ac:dyDescent="0.15">
      <c r="A1366" s="6"/>
      <c r="D1366" t="s">
        <v>90</v>
      </c>
      <c r="E1366" t="str">
        <f>E776&amp;".589"</f>
        <v>15.589</v>
      </c>
      <c r="F1366" t="s">
        <v>3172</v>
      </c>
      <c r="G1366" t="s">
        <v>1979</v>
      </c>
      <c r="I1366">
        <v>266.78899999999999</v>
      </c>
    </row>
    <row r="1367" spans="1:9" ht="15" customHeight="1" x14ac:dyDescent="0.15">
      <c r="A1367" s="6"/>
      <c r="D1367" t="s">
        <v>90</v>
      </c>
      <c r="E1367" t="str">
        <f>E776&amp;".590"</f>
        <v>15.590</v>
      </c>
      <c r="F1367" t="s">
        <v>3173</v>
      </c>
      <c r="G1367" t="s">
        <v>1979</v>
      </c>
      <c r="I1367">
        <v>242.76</v>
      </c>
    </row>
    <row r="1368" spans="1:9" ht="15" customHeight="1" x14ac:dyDescent="0.15">
      <c r="A1368" s="6"/>
      <c r="D1368" t="s">
        <v>90</v>
      </c>
      <c r="E1368" t="str">
        <f>E776&amp;".591"</f>
        <v>15.591</v>
      </c>
      <c r="F1368" t="s">
        <v>3174</v>
      </c>
      <c r="G1368" t="s">
        <v>1979</v>
      </c>
      <c r="I1368">
        <v>273.00299999999999</v>
      </c>
    </row>
    <row r="1369" spans="1:9" ht="15" customHeight="1" x14ac:dyDescent="0.15">
      <c r="A1369" s="6"/>
      <c r="D1369" t="s">
        <v>90</v>
      </c>
      <c r="E1369" t="str">
        <f>E776&amp;".592"</f>
        <v>15.592</v>
      </c>
      <c r="F1369" t="s">
        <v>3175</v>
      </c>
      <c r="G1369" t="s">
        <v>1979</v>
      </c>
      <c r="I1369">
        <v>238.00200000000001</v>
      </c>
    </row>
    <row r="1370" spans="1:9" ht="15" customHeight="1" x14ac:dyDescent="0.15">
      <c r="A1370" s="6"/>
      <c r="D1370" t="s">
        <v>90</v>
      </c>
      <c r="E1370" t="str">
        <f>E776&amp;".593"</f>
        <v>15.593</v>
      </c>
      <c r="F1370" t="s">
        <v>3176</v>
      </c>
      <c r="G1370" t="s">
        <v>1979</v>
      </c>
      <c r="I1370">
        <v>252.756</v>
      </c>
    </row>
    <row r="1371" spans="1:9" ht="15" customHeight="1" x14ac:dyDescent="0.15">
      <c r="A1371" s="6"/>
      <c r="D1371" t="s">
        <v>90</v>
      </c>
      <c r="E1371" t="str">
        <f>E776&amp;".594"</f>
        <v>15.594</v>
      </c>
      <c r="F1371" t="s">
        <v>3177</v>
      </c>
      <c r="G1371" t="s">
        <v>1979</v>
      </c>
      <c r="I1371">
        <v>252.76400000000001</v>
      </c>
    </row>
    <row r="1372" spans="1:9" ht="15" customHeight="1" x14ac:dyDescent="0.15">
      <c r="A1372" s="6"/>
      <c r="D1372" t="s">
        <v>90</v>
      </c>
      <c r="E1372" t="str">
        <f>E776&amp;".595"</f>
        <v>15.595</v>
      </c>
      <c r="F1372" t="s">
        <v>3178</v>
      </c>
      <c r="G1372" t="s">
        <v>1979</v>
      </c>
      <c r="I1372">
        <v>268.89699999999999</v>
      </c>
    </row>
    <row r="1373" spans="1:9" ht="15" customHeight="1" x14ac:dyDescent="0.15">
      <c r="A1373" s="6"/>
      <c r="D1373" t="s">
        <v>90</v>
      </c>
      <c r="E1373" t="str">
        <f>E776&amp;".596"</f>
        <v>15.596</v>
      </c>
      <c r="F1373" t="s">
        <v>3179</v>
      </c>
      <c r="G1373" t="s">
        <v>1979</v>
      </c>
      <c r="I1373">
        <v>210</v>
      </c>
    </row>
    <row r="1374" spans="1:9" ht="15" customHeight="1" x14ac:dyDescent="0.15">
      <c r="A1374" s="6"/>
      <c r="D1374" t="s">
        <v>90</v>
      </c>
      <c r="E1374" t="str">
        <f>E776&amp;".597"</f>
        <v>15.597</v>
      </c>
      <c r="F1374" t="s">
        <v>3180</v>
      </c>
      <c r="G1374" t="s">
        <v>1979</v>
      </c>
      <c r="I1374">
        <v>230.69800000000001</v>
      </c>
    </row>
    <row r="1375" spans="1:9" ht="15" customHeight="1" x14ac:dyDescent="0.15">
      <c r="A1375" s="6"/>
      <c r="D1375" t="s">
        <v>90</v>
      </c>
      <c r="E1375" t="str">
        <f>E776&amp;".598"</f>
        <v>15.598</v>
      </c>
      <c r="F1375" t="s">
        <v>3181</v>
      </c>
      <c r="G1375" t="s">
        <v>1979</v>
      </c>
      <c r="I1375">
        <v>253</v>
      </c>
    </row>
    <row r="1376" spans="1:9" ht="15" customHeight="1" x14ac:dyDescent="0.15">
      <c r="A1376" s="6"/>
      <c r="D1376" t="s">
        <v>90</v>
      </c>
      <c r="E1376" t="str">
        <f>E776&amp;".599"</f>
        <v>15.599</v>
      </c>
      <c r="F1376" t="s">
        <v>3182</v>
      </c>
      <c r="G1376" t="s">
        <v>1979</v>
      </c>
      <c r="I1376">
        <v>242.75200000000001</v>
      </c>
    </row>
    <row r="1377" spans="1:41" ht="15" customHeight="1" x14ac:dyDescent="0.15">
      <c r="A1377" s="6"/>
      <c r="D1377" t="s">
        <v>90</v>
      </c>
      <c r="E1377" t="str">
        <f>E776&amp;".600"</f>
        <v>15.600</v>
      </c>
      <c r="F1377" t="s">
        <v>3183</v>
      </c>
      <c r="G1377" t="s">
        <v>1979</v>
      </c>
      <c r="I1377">
        <v>178.292</v>
      </c>
    </row>
    <row r="1378" spans="1:41" ht="15" customHeight="1" x14ac:dyDescent="0.15">
      <c r="A1378" s="6"/>
      <c r="D1378" t="s">
        <v>90</v>
      </c>
      <c r="E1378" t="str">
        <f>E776&amp;".601"</f>
        <v>15.601</v>
      </c>
      <c r="F1378" t="s">
        <v>3184</v>
      </c>
      <c r="G1378" t="s">
        <v>1979</v>
      </c>
      <c r="I1378">
        <v>227.99799999999999</v>
      </c>
    </row>
    <row r="1379" spans="1:41" ht="15" customHeight="1" x14ac:dyDescent="0.15">
      <c r="A1379" s="6"/>
      <c r="D1379" t="s">
        <v>90</v>
      </c>
      <c r="E1379" t="str">
        <f>E776&amp;".602"</f>
        <v>15.602</v>
      </c>
      <c r="F1379" t="s">
        <v>3185</v>
      </c>
      <c r="G1379" t="s">
        <v>1979</v>
      </c>
      <c r="I1379">
        <v>239.5</v>
      </c>
    </row>
    <row r="1380" spans="1:41" ht="15" customHeight="1" x14ac:dyDescent="0.15">
      <c r="A1380" s="6"/>
      <c r="D1380" t="s">
        <v>90</v>
      </c>
      <c r="E1380" t="str">
        <f>E776&amp;".603"</f>
        <v>15.603</v>
      </c>
      <c r="F1380" t="s">
        <v>3186</v>
      </c>
      <c r="G1380" t="s">
        <v>1979</v>
      </c>
      <c r="I1380">
        <v>268</v>
      </c>
    </row>
    <row r="1381" spans="1:41" ht="15" customHeight="1" x14ac:dyDescent="0.15">
      <c r="A1381" s="6"/>
      <c r="D1381" t="s">
        <v>90</v>
      </c>
      <c r="E1381" t="str">
        <f>E776&amp;".604"</f>
        <v>15.604</v>
      </c>
      <c r="F1381" t="s">
        <v>3187</v>
      </c>
      <c r="G1381" t="s">
        <v>1979</v>
      </c>
      <c r="I1381">
        <v>230</v>
      </c>
    </row>
    <row r="1382" spans="1:41" ht="15" customHeight="1" x14ac:dyDescent="0.15">
      <c r="A1382" s="6"/>
      <c r="D1382" t="s">
        <v>90</v>
      </c>
      <c r="E1382" t="str">
        <f>E776&amp;".605"</f>
        <v>15.605</v>
      </c>
      <c r="F1382" t="s">
        <v>3188</v>
      </c>
      <c r="G1382" t="s">
        <v>1979</v>
      </c>
      <c r="I1382">
        <v>268.00200000000001</v>
      </c>
    </row>
    <row r="1383" spans="1:41" ht="15" customHeight="1" x14ac:dyDescent="0.15">
      <c r="A1383" s="6"/>
      <c r="F1383" t="s">
        <v>1816</v>
      </c>
    </row>
    <row r="1384" spans="1:41" ht="92.25" customHeight="1" x14ac:dyDescent="0.15">
      <c r="A1384" s="6"/>
      <c r="E1384" t="str">
        <f>FHD_NUM_P_79</f>
        <v>16</v>
      </c>
      <c r="F13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84" t="s">
        <v>1980</v>
      </c>
      <c r="I1384">
        <v>0</v>
      </c>
      <c r="J1384">
        <v>0</v>
      </c>
      <c r="K1384">
        <v>0</v>
      </c>
      <c r="L1384">
        <v>0</v>
      </c>
      <c r="M1384">
        <v>0</v>
      </c>
      <c r="N1384">
        <v>0</v>
      </c>
      <c r="O1384">
        <v>0</v>
      </c>
      <c r="P1384">
        <v>0</v>
      </c>
      <c r="Q1384">
        <v>0</v>
      </c>
      <c r="R1384">
        <v>0</v>
      </c>
      <c r="S1384">
        <v>0</v>
      </c>
      <c r="T1384">
        <v>0</v>
      </c>
      <c r="U1384">
        <v>0</v>
      </c>
      <c r="V1384">
        <v>0</v>
      </c>
      <c r="W1384">
        <v>0</v>
      </c>
      <c r="X1384">
        <v>0</v>
      </c>
      <c r="Y1384">
        <v>0</v>
      </c>
      <c r="Z1384">
        <v>0</v>
      </c>
      <c r="AA1384">
        <v>0</v>
      </c>
      <c r="AB1384">
        <v>0</v>
      </c>
      <c r="AC1384">
        <v>0</v>
      </c>
      <c r="AD1384">
        <v>0</v>
      </c>
      <c r="AE1384">
        <v>0</v>
      </c>
      <c r="AF1384">
        <v>0</v>
      </c>
      <c r="AG1384">
        <v>0</v>
      </c>
      <c r="AH1384">
        <v>0</v>
      </c>
      <c r="AI1384">
        <v>0</v>
      </c>
      <c r="AJ1384">
        <v>0</v>
      </c>
      <c r="AK1384">
        <v>0</v>
      </c>
      <c r="AL1384">
        <v>0</v>
      </c>
      <c r="AM1384">
        <v>0</v>
      </c>
      <c r="AN1384">
        <v>0</v>
      </c>
      <c r="AO1384">
        <v>0</v>
      </c>
    </row>
    <row r="1385" spans="1:41" ht="15" customHeight="1" x14ac:dyDescent="0.15">
      <c r="A1385" s="6"/>
      <c r="E1385" t="str">
        <f>E1384&amp;".0"</f>
        <v>16.0</v>
      </c>
    </row>
    <row r="1386" spans="1:41" ht="15" customHeight="1" x14ac:dyDescent="0.15">
      <c r="A1386" s="6"/>
      <c r="D1386" t="s">
        <v>90</v>
      </c>
      <c r="E1386" t="str">
        <f>E1384&amp;".1"</f>
        <v>16.1</v>
      </c>
      <c r="F1386" t="s">
        <v>2015</v>
      </c>
      <c r="G1386" t="s">
        <v>1980</v>
      </c>
      <c r="J1386">
        <v>196.53299999999999</v>
      </c>
    </row>
    <row r="1387" spans="1:41" ht="15" customHeight="1" x14ac:dyDescent="0.15">
      <c r="A1387" s="6"/>
      <c r="D1387" t="s">
        <v>90</v>
      </c>
      <c r="E1387" t="str">
        <f>E1384&amp;".2"</f>
        <v>16.2</v>
      </c>
      <c r="F1387" t="s">
        <v>2016</v>
      </c>
      <c r="G1387" t="s">
        <v>1980</v>
      </c>
      <c r="J1387">
        <v>183.58699999999999</v>
      </c>
    </row>
    <row r="1388" spans="1:41" ht="15" customHeight="1" x14ac:dyDescent="0.15">
      <c r="A1388" s="6"/>
      <c r="D1388" t="s">
        <v>90</v>
      </c>
      <c r="E1388" t="str">
        <f>E1384&amp;".3"</f>
        <v>16.3</v>
      </c>
      <c r="F1388" t="s">
        <v>2017</v>
      </c>
      <c r="G1388" t="s">
        <v>1980</v>
      </c>
      <c r="J1388">
        <v>181.02699999999999</v>
      </c>
    </row>
    <row r="1389" spans="1:41" ht="15" customHeight="1" x14ac:dyDescent="0.15">
      <c r="A1389" s="6"/>
      <c r="D1389" t="s">
        <v>90</v>
      </c>
      <c r="E1389" t="str">
        <f>E1384&amp;".4"</f>
        <v>16.4</v>
      </c>
      <c r="F1389" t="s">
        <v>2018</v>
      </c>
      <c r="G1389" t="s">
        <v>1980</v>
      </c>
      <c r="J1389">
        <v>273.762</v>
      </c>
    </row>
    <row r="1390" spans="1:41" ht="15" customHeight="1" x14ac:dyDescent="0.15">
      <c r="A1390" s="6"/>
      <c r="D1390" t="s">
        <v>90</v>
      </c>
      <c r="E1390" t="str">
        <f>E1384&amp;".5"</f>
        <v>16.5</v>
      </c>
      <c r="F1390" t="s">
        <v>2019</v>
      </c>
      <c r="G1390" t="s">
        <v>1980</v>
      </c>
      <c r="J1390">
        <v>317.68200000000002</v>
      </c>
    </row>
    <row r="1391" spans="1:41" ht="15" customHeight="1" x14ac:dyDescent="0.15">
      <c r="A1391" s="6"/>
      <c r="D1391" t="s">
        <v>90</v>
      </c>
      <c r="E1391" t="str">
        <f>E1384&amp;".6"</f>
        <v>16.6</v>
      </c>
      <c r="F1391" t="s">
        <v>2020</v>
      </c>
      <c r="G1391" t="s">
        <v>1980</v>
      </c>
      <c r="J1391">
        <v>279.19499999999999</v>
      </c>
    </row>
    <row r="1392" spans="1:41" ht="15" customHeight="1" x14ac:dyDescent="0.15">
      <c r="A1392" s="6"/>
      <c r="D1392" t="s">
        <v>90</v>
      </c>
      <c r="E1392" t="str">
        <f>E1384&amp;".7"</f>
        <v>16.7</v>
      </c>
      <c r="F1392" t="s">
        <v>2021</v>
      </c>
      <c r="G1392" t="s">
        <v>1980</v>
      </c>
      <c r="J1392">
        <v>303.59199999999998</v>
      </c>
    </row>
    <row r="1393" spans="1:11" ht="15" customHeight="1" x14ac:dyDescent="0.15">
      <c r="A1393" s="6"/>
      <c r="D1393" t="s">
        <v>90</v>
      </c>
      <c r="E1393" t="str">
        <f>E1384&amp;".8"</f>
        <v>16.8</v>
      </c>
      <c r="F1393" t="s">
        <v>2022</v>
      </c>
      <c r="G1393" t="s">
        <v>1980</v>
      </c>
      <c r="J1393">
        <v>323.22199999999998</v>
      </c>
    </row>
    <row r="1394" spans="1:11" ht="15" customHeight="1" x14ac:dyDescent="0.15">
      <c r="A1394" s="6"/>
      <c r="D1394" t="s">
        <v>90</v>
      </c>
      <c r="E1394" t="str">
        <f>E1384&amp;".9"</f>
        <v>16.9</v>
      </c>
      <c r="F1394" t="s">
        <v>2023</v>
      </c>
      <c r="G1394" t="s">
        <v>1980</v>
      </c>
      <c r="J1394">
        <v>191.22</v>
      </c>
    </row>
    <row r="1395" spans="1:11" ht="15" customHeight="1" x14ac:dyDescent="0.15">
      <c r="A1395" s="6"/>
      <c r="D1395" t="s">
        <v>90</v>
      </c>
      <c r="E1395" t="str">
        <f>E1384&amp;".10"</f>
        <v>16.10</v>
      </c>
      <c r="F1395" t="s">
        <v>2024</v>
      </c>
      <c r="G1395" t="s">
        <v>1980</v>
      </c>
      <c r="K1395">
        <v>210</v>
      </c>
    </row>
    <row r="1396" spans="1:11" ht="15" customHeight="1" x14ac:dyDescent="0.15">
      <c r="A1396" s="6"/>
      <c r="D1396" t="s">
        <v>90</v>
      </c>
      <c r="E1396" t="str">
        <f>E1384&amp;".11"</f>
        <v>16.11</v>
      </c>
      <c r="F1396" t="s">
        <v>2025</v>
      </c>
      <c r="G1396" t="s">
        <v>1980</v>
      </c>
      <c r="K1396">
        <v>175.8</v>
      </c>
    </row>
    <row r="1397" spans="1:11" ht="15" customHeight="1" x14ac:dyDescent="0.15">
      <c r="A1397" s="6"/>
      <c r="D1397" t="s">
        <v>90</v>
      </c>
      <c r="E1397" t="str">
        <f>E1384&amp;".12"</f>
        <v>16.12</v>
      </c>
      <c r="F1397" t="s">
        <v>2026</v>
      </c>
      <c r="G1397" t="s">
        <v>1980</v>
      </c>
      <c r="K1397">
        <v>238</v>
      </c>
    </row>
    <row r="1398" spans="1:11" ht="15" customHeight="1" x14ac:dyDescent="0.15">
      <c r="A1398" s="6"/>
      <c r="D1398" t="s">
        <v>90</v>
      </c>
      <c r="E1398" t="str">
        <f>E1384&amp;".13"</f>
        <v>16.13</v>
      </c>
      <c r="F1398" t="s">
        <v>2027</v>
      </c>
      <c r="G1398" t="s">
        <v>1980</v>
      </c>
      <c r="K1398">
        <v>228</v>
      </c>
    </row>
    <row r="1399" spans="1:11" ht="15" customHeight="1" x14ac:dyDescent="0.15">
      <c r="A1399" s="6"/>
      <c r="D1399" t="s">
        <v>90</v>
      </c>
      <c r="E1399" t="str">
        <f>E1384&amp;".14"</f>
        <v>16.14</v>
      </c>
      <c r="F1399" t="s">
        <v>2028</v>
      </c>
      <c r="G1399" t="s">
        <v>1980</v>
      </c>
      <c r="K1399">
        <v>238</v>
      </c>
    </row>
    <row r="1400" spans="1:11" ht="15" customHeight="1" x14ac:dyDescent="0.15">
      <c r="A1400" s="6"/>
      <c r="D1400" t="s">
        <v>90</v>
      </c>
      <c r="E1400" t="str">
        <f>E1384&amp;".15"</f>
        <v>16.15</v>
      </c>
      <c r="F1400" t="s">
        <v>2029</v>
      </c>
      <c r="G1400" t="s">
        <v>1980</v>
      </c>
      <c r="K1400">
        <v>158</v>
      </c>
    </row>
    <row r="1401" spans="1:11" ht="15" customHeight="1" x14ac:dyDescent="0.15">
      <c r="A1401" s="6"/>
      <c r="D1401" t="s">
        <v>90</v>
      </c>
      <c r="E1401" t="str">
        <f>E1384&amp;".16"</f>
        <v>16.16</v>
      </c>
      <c r="F1401" t="s">
        <v>2030</v>
      </c>
      <c r="G1401" t="s">
        <v>1980</v>
      </c>
      <c r="K1401">
        <v>238</v>
      </c>
    </row>
    <row r="1402" spans="1:11" ht="15" customHeight="1" x14ac:dyDescent="0.15">
      <c r="A1402" s="6"/>
      <c r="D1402" t="s">
        <v>90</v>
      </c>
      <c r="E1402" t="str">
        <f>E1384&amp;".17"</f>
        <v>16.17</v>
      </c>
      <c r="F1402" t="s">
        <v>2031</v>
      </c>
      <c r="G1402" t="s">
        <v>1980</v>
      </c>
      <c r="K1402">
        <v>210</v>
      </c>
    </row>
    <row r="1403" spans="1:11" ht="15" customHeight="1" x14ac:dyDescent="0.15">
      <c r="A1403" s="6"/>
      <c r="D1403" t="s">
        <v>90</v>
      </c>
      <c r="E1403" t="str">
        <f>E1384&amp;".18"</f>
        <v>16.18</v>
      </c>
      <c r="F1403" t="s">
        <v>2032</v>
      </c>
      <c r="G1403" t="s">
        <v>1980</v>
      </c>
      <c r="K1403">
        <v>238</v>
      </c>
    </row>
    <row r="1404" spans="1:11" ht="15" customHeight="1" x14ac:dyDescent="0.15">
      <c r="A1404" s="6"/>
      <c r="D1404" t="s">
        <v>90</v>
      </c>
      <c r="E1404" t="str">
        <f>E1384&amp;".19"</f>
        <v>16.19</v>
      </c>
      <c r="F1404" t="s">
        <v>2625</v>
      </c>
      <c r="G1404" t="s">
        <v>1980</v>
      </c>
      <c r="I1404">
        <v>168.01900000000001</v>
      </c>
    </row>
    <row r="1405" spans="1:11" ht="15" customHeight="1" x14ac:dyDescent="0.15">
      <c r="A1405" s="6"/>
      <c r="D1405" t="s">
        <v>90</v>
      </c>
      <c r="E1405" t="str">
        <f>E1384&amp;".20"</f>
        <v>16.20</v>
      </c>
      <c r="F1405" t="s">
        <v>2626</v>
      </c>
      <c r="G1405" t="s">
        <v>1980</v>
      </c>
      <c r="I1405">
        <v>210</v>
      </c>
    </row>
    <row r="1406" spans="1:11" ht="15" customHeight="1" x14ac:dyDescent="0.15">
      <c r="A1406" s="6"/>
      <c r="D1406" t="s">
        <v>90</v>
      </c>
      <c r="E1406" t="str">
        <f>E1384&amp;".21"</f>
        <v>16.21</v>
      </c>
      <c r="F1406" t="s">
        <v>2627</v>
      </c>
      <c r="G1406" t="s">
        <v>1980</v>
      </c>
      <c r="I1406">
        <v>220</v>
      </c>
    </row>
    <row r="1407" spans="1:11" ht="15" customHeight="1" x14ac:dyDescent="0.15">
      <c r="A1407" s="6"/>
      <c r="D1407" t="s">
        <v>90</v>
      </c>
      <c r="E1407" t="str">
        <f>E1384&amp;".22"</f>
        <v>16.22</v>
      </c>
      <c r="F1407" t="s">
        <v>2628</v>
      </c>
      <c r="G1407" t="s">
        <v>1980</v>
      </c>
      <c r="I1407">
        <v>235.49</v>
      </c>
    </row>
    <row r="1408" spans="1:11" ht="15" customHeight="1" x14ac:dyDescent="0.15">
      <c r="A1408" s="6"/>
      <c r="D1408" t="s">
        <v>90</v>
      </c>
      <c r="E1408" t="str">
        <f>E1384&amp;".23"</f>
        <v>16.23</v>
      </c>
      <c r="F1408" t="s">
        <v>2629</v>
      </c>
      <c r="G1408" t="s">
        <v>1980</v>
      </c>
      <c r="I1408">
        <v>237.68899999999999</v>
      </c>
    </row>
    <row r="1409" spans="1:9" ht="15" customHeight="1" x14ac:dyDescent="0.15">
      <c r="A1409" s="6"/>
      <c r="D1409" t="s">
        <v>90</v>
      </c>
      <c r="E1409" t="str">
        <f>E1384&amp;".24"</f>
        <v>16.24</v>
      </c>
      <c r="F1409" t="s">
        <v>2630</v>
      </c>
      <c r="G1409" t="s">
        <v>1980</v>
      </c>
      <c r="I1409">
        <v>230</v>
      </c>
    </row>
    <row r="1410" spans="1:9" ht="15" customHeight="1" x14ac:dyDescent="0.15">
      <c r="A1410" s="6"/>
      <c r="D1410" t="s">
        <v>90</v>
      </c>
      <c r="E1410" t="str">
        <f>E1384&amp;".25"</f>
        <v>16.25</v>
      </c>
      <c r="F1410" t="s">
        <v>2631</v>
      </c>
      <c r="G1410" t="s">
        <v>1980</v>
      </c>
      <c r="I1410">
        <v>251</v>
      </c>
    </row>
    <row r="1411" spans="1:9" ht="15" customHeight="1" x14ac:dyDescent="0.15">
      <c r="A1411" s="6"/>
      <c r="D1411" t="s">
        <v>90</v>
      </c>
      <c r="E1411" t="str">
        <f>E1384&amp;".26"</f>
        <v>16.26</v>
      </c>
      <c r="F1411" t="s">
        <v>2632</v>
      </c>
      <c r="G1411" t="s">
        <v>1980</v>
      </c>
      <c r="I1411">
        <v>238.03</v>
      </c>
    </row>
    <row r="1412" spans="1:9" ht="15" customHeight="1" x14ac:dyDescent="0.15">
      <c r="A1412" s="6"/>
      <c r="D1412" t="s">
        <v>90</v>
      </c>
      <c r="E1412" t="str">
        <f>E1384&amp;".27"</f>
        <v>16.27</v>
      </c>
      <c r="F1412" t="s">
        <v>2633</v>
      </c>
      <c r="G1412" t="s">
        <v>1980</v>
      </c>
      <c r="I1412">
        <v>230</v>
      </c>
    </row>
    <row r="1413" spans="1:9" ht="15" customHeight="1" x14ac:dyDescent="0.15">
      <c r="A1413" s="6"/>
      <c r="D1413" t="s">
        <v>90</v>
      </c>
      <c r="E1413" t="str">
        <f>E1384&amp;".28"</f>
        <v>16.28</v>
      </c>
      <c r="F1413" t="s">
        <v>2634</v>
      </c>
      <c r="G1413" t="s">
        <v>1980</v>
      </c>
      <c r="I1413">
        <v>233</v>
      </c>
    </row>
    <row r="1414" spans="1:9" ht="15" customHeight="1" x14ac:dyDescent="0.15">
      <c r="A1414" s="6"/>
      <c r="D1414" t="s">
        <v>90</v>
      </c>
      <c r="E1414" t="str">
        <f>E1384&amp;".29"</f>
        <v>16.29</v>
      </c>
      <c r="F1414" t="s">
        <v>2635</v>
      </c>
      <c r="G1414" t="s">
        <v>1980</v>
      </c>
      <c r="I1414">
        <v>210</v>
      </c>
    </row>
    <row r="1415" spans="1:9" ht="15" customHeight="1" x14ac:dyDescent="0.15">
      <c r="A1415" s="6"/>
      <c r="D1415" t="s">
        <v>90</v>
      </c>
      <c r="E1415" t="str">
        <f>E1384&amp;".30"</f>
        <v>16.30</v>
      </c>
      <c r="F1415" t="s">
        <v>2636</v>
      </c>
      <c r="G1415" t="s">
        <v>1980</v>
      </c>
      <c r="I1415">
        <v>210</v>
      </c>
    </row>
    <row r="1416" spans="1:9" ht="15" customHeight="1" x14ac:dyDescent="0.15">
      <c r="A1416" s="6"/>
      <c r="D1416" t="s">
        <v>90</v>
      </c>
      <c r="E1416" t="str">
        <f>E1384&amp;".31"</f>
        <v>16.31</v>
      </c>
      <c r="F1416" t="s">
        <v>2637</v>
      </c>
      <c r="G1416" t="s">
        <v>1980</v>
      </c>
      <c r="I1416">
        <v>225.2</v>
      </c>
    </row>
    <row r="1417" spans="1:9" ht="15" customHeight="1" x14ac:dyDescent="0.15">
      <c r="A1417" s="6"/>
      <c r="D1417" t="s">
        <v>90</v>
      </c>
      <c r="E1417" t="str">
        <f>E1384&amp;".32"</f>
        <v>16.32</v>
      </c>
      <c r="F1417" t="s">
        <v>2638</v>
      </c>
      <c r="G1417" t="s">
        <v>1980</v>
      </c>
      <c r="I1417">
        <v>176</v>
      </c>
    </row>
    <row r="1418" spans="1:9" ht="15" customHeight="1" x14ac:dyDescent="0.15">
      <c r="A1418" s="6"/>
      <c r="D1418" t="s">
        <v>90</v>
      </c>
      <c r="E1418" t="str">
        <f>E1384&amp;".33"</f>
        <v>16.33</v>
      </c>
      <c r="F1418" t="s">
        <v>2639</v>
      </c>
      <c r="G1418" t="s">
        <v>1980</v>
      </c>
      <c r="I1418">
        <v>260</v>
      </c>
    </row>
    <row r="1419" spans="1:9" ht="15" customHeight="1" x14ac:dyDescent="0.15">
      <c r="A1419" s="6"/>
      <c r="D1419" t="s">
        <v>90</v>
      </c>
      <c r="E1419" t="str">
        <f>E1384&amp;".34"</f>
        <v>16.34</v>
      </c>
      <c r="F1419" t="s">
        <v>2640</v>
      </c>
      <c r="G1419" t="s">
        <v>1980</v>
      </c>
      <c r="I1419">
        <v>253</v>
      </c>
    </row>
    <row r="1420" spans="1:9" ht="15" customHeight="1" x14ac:dyDescent="0.15">
      <c r="A1420" s="6"/>
      <c r="D1420" t="s">
        <v>90</v>
      </c>
      <c r="E1420" t="str">
        <f>E1384&amp;".35"</f>
        <v>16.35</v>
      </c>
      <c r="F1420" t="s">
        <v>2641</v>
      </c>
      <c r="G1420" t="s">
        <v>1980</v>
      </c>
      <c r="I1420">
        <v>221</v>
      </c>
    </row>
    <row r="1421" spans="1:9" ht="15" customHeight="1" x14ac:dyDescent="0.15">
      <c r="A1421" s="6"/>
      <c r="D1421" t="s">
        <v>90</v>
      </c>
      <c r="E1421" t="str">
        <f>E1384&amp;".36"</f>
        <v>16.36</v>
      </c>
      <c r="F1421" t="s">
        <v>2642</v>
      </c>
      <c r="G1421" t="s">
        <v>1980</v>
      </c>
      <c r="I1421">
        <v>247.2</v>
      </c>
    </row>
    <row r="1422" spans="1:9" ht="15" customHeight="1" x14ac:dyDescent="0.15">
      <c r="A1422" s="6"/>
      <c r="D1422" t="s">
        <v>90</v>
      </c>
      <c r="E1422" t="str">
        <f>E1384&amp;".37"</f>
        <v>16.37</v>
      </c>
      <c r="F1422" t="s">
        <v>2506</v>
      </c>
      <c r="G1422" t="s">
        <v>1980</v>
      </c>
      <c r="I1422">
        <v>245.4</v>
      </c>
    </row>
    <row r="1423" spans="1:9" ht="15" customHeight="1" x14ac:dyDescent="0.15">
      <c r="A1423" s="6"/>
      <c r="D1423" t="s">
        <v>90</v>
      </c>
      <c r="E1423" t="str">
        <f>E1384&amp;".38"</f>
        <v>16.38</v>
      </c>
      <c r="F1423" t="s">
        <v>2643</v>
      </c>
      <c r="G1423" t="s">
        <v>1980</v>
      </c>
      <c r="I1423">
        <v>219.977</v>
      </c>
    </row>
    <row r="1424" spans="1:9" ht="15" customHeight="1" x14ac:dyDescent="0.15">
      <c r="A1424" s="6"/>
      <c r="D1424" t="s">
        <v>90</v>
      </c>
      <c r="E1424" t="str">
        <f>E1384&amp;".39"</f>
        <v>16.39</v>
      </c>
      <c r="F1424" t="s">
        <v>2644</v>
      </c>
      <c r="G1424" t="s">
        <v>1980</v>
      </c>
      <c r="I1424">
        <v>210</v>
      </c>
    </row>
    <row r="1425" spans="1:9" ht="15" customHeight="1" x14ac:dyDescent="0.15">
      <c r="A1425" s="6"/>
      <c r="D1425" t="s">
        <v>90</v>
      </c>
      <c r="E1425" t="str">
        <f>E1384&amp;".40"</f>
        <v>16.40</v>
      </c>
      <c r="F1425" t="s">
        <v>2645</v>
      </c>
      <c r="G1425" t="s">
        <v>1980</v>
      </c>
      <c r="I1425">
        <v>198.13800000000001</v>
      </c>
    </row>
    <row r="1426" spans="1:9" ht="15" customHeight="1" x14ac:dyDescent="0.15">
      <c r="A1426" s="6"/>
      <c r="D1426" t="s">
        <v>90</v>
      </c>
      <c r="E1426" t="str">
        <f>E1384&amp;".41"</f>
        <v>16.41</v>
      </c>
      <c r="F1426" t="s">
        <v>2646</v>
      </c>
      <c r="G1426" t="s">
        <v>1980</v>
      </c>
      <c r="I1426">
        <v>206.77099999999999</v>
      </c>
    </row>
    <row r="1427" spans="1:9" ht="15" customHeight="1" x14ac:dyDescent="0.15">
      <c r="A1427" s="6"/>
      <c r="D1427" t="s">
        <v>90</v>
      </c>
      <c r="E1427" t="str">
        <f>E1384&amp;".42"</f>
        <v>16.42</v>
      </c>
      <c r="F1427" t="s">
        <v>2647</v>
      </c>
      <c r="G1427" t="s">
        <v>1980</v>
      </c>
      <c r="I1427">
        <v>249.46</v>
      </c>
    </row>
    <row r="1428" spans="1:9" ht="15" customHeight="1" x14ac:dyDescent="0.15">
      <c r="A1428" s="6"/>
      <c r="D1428" t="s">
        <v>90</v>
      </c>
      <c r="E1428" t="str">
        <f>E1384&amp;".43"</f>
        <v>16.43</v>
      </c>
      <c r="F1428" t="s">
        <v>2648</v>
      </c>
      <c r="G1428" t="s">
        <v>1980</v>
      </c>
      <c r="I1428">
        <v>193.90299999999999</v>
      </c>
    </row>
    <row r="1429" spans="1:9" ht="15" customHeight="1" x14ac:dyDescent="0.15">
      <c r="A1429" s="6"/>
      <c r="D1429" t="s">
        <v>90</v>
      </c>
      <c r="E1429" t="str">
        <f>E1384&amp;".44"</f>
        <v>16.44</v>
      </c>
      <c r="F1429" t="s">
        <v>2649</v>
      </c>
      <c r="G1429" t="s">
        <v>1980</v>
      </c>
      <c r="I1429">
        <v>211.77699999999999</v>
      </c>
    </row>
    <row r="1430" spans="1:9" ht="15" customHeight="1" x14ac:dyDescent="0.15">
      <c r="A1430" s="6"/>
      <c r="D1430" t="s">
        <v>90</v>
      </c>
      <c r="E1430" t="str">
        <f>E1384&amp;".45"</f>
        <v>16.45</v>
      </c>
      <c r="F1430" t="s">
        <v>2650</v>
      </c>
      <c r="G1430" t="s">
        <v>1980</v>
      </c>
      <c r="I1430">
        <v>204.76400000000001</v>
      </c>
    </row>
    <row r="1431" spans="1:9" ht="15" customHeight="1" x14ac:dyDescent="0.15">
      <c r="A1431" s="6"/>
      <c r="D1431" t="s">
        <v>90</v>
      </c>
      <c r="E1431" t="str">
        <f>E1384&amp;".46"</f>
        <v>16.46</v>
      </c>
      <c r="F1431" t="s">
        <v>2651</v>
      </c>
      <c r="G1431" t="s">
        <v>1980</v>
      </c>
      <c r="I1431">
        <v>172</v>
      </c>
    </row>
    <row r="1432" spans="1:9" ht="15" customHeight="1" x14ac:dyDescent="0.15">
      <c r="A1432" s="6"/>
      <c r="D1432" t="s">
        <v>90</v>
      </c>
      <c r="E1432" t="str">
        <f>E1384&amp;".47"</f>
        <v>16.47</v>
      </c>
      <c r="F1432" t="s">
        <v>2652</v>
      </c>
      <c r="G1432" t="s">
        <v>1980</v>
      </c>
      <c r="I1432">
        <v>171</v>
      </c>
    </row>
    <row r="1433" spans="1:9" ht="15" customHeight="1" x14ac:dyDescent="0.15">
      <c r="A1433" s="6"/>
      <c r="D1433" t="s">
        <v>90</v>
      </c>
      <c r="E1433" t="str">
        <f>E1384&amp;".48"</f>
        <v>16.48</v>
      </c>
      <c r="F1433" t="s">
        <v>2653</v>
      </c>
      <c r="G1433" t="s">
        <v>1980</v>
      </c>
      <c r="I1433">
        <v>173</v>
      </c>
    </row>
    <row r="1434" spans="1:9" ht="15" customHeight="1" x14ac:dyDescent="0.15">
      <c r="A1434" s="6"/>
      <c r="D1434" t="s">
        <v>90</v>
      </c>
      <c r="E1434" t="str">
        <f>E1384&amp;".49"</f>
        <v>16.49</v>
      </c>
      <c r="F1434" t="s">
        <v>2654</v>
      </c>
      <c r="G1434" t="s">
        <v>1980</v>
      </c>
      <c r="I1434">
        <v>235.208</v>
      </c>
    </row>
    <row r="1435" spans="1:9" ht="15" customHeight="1" x14ac:dyDescent="0.15">
      <c r="A1435" s="6"/>
      <c r="D1435" t="s">
        <v>90</v>
      </c>
      <c r="E1435" t="str">
        <f>E1384&amp;".50"</f>
        <v>16.50</v>
      </c>
      <c r="F1435" t="s">
        <v>2655</v>
      </c>
      <c r="G1435" t="s">
        <v>1980</v>
      </c>
      <c r="I1435">
        <v>227.018</v>
      </c>
    </row>
    <row r="1436" spans="1:9" ht="15" customHeight="1" x14ac:dyDescent="0.15">
      <c r="A1436" s="6"/>
      <c r="D1436" t="s">
        <v>90</v>
      </c>
      <c r="E1436" t="str">
        <f>E1384&amp;".51"</f>
        <v>16.51</v>
      </c>
      <c r="F1436" t="s">
        <v>2656</v>
      </c>
      <c r="G1436" t="s">
        <v>1980</v>
      </c>
      <c r="I1436">
        <v>211.53700000000001</v>
      </c>
    </row>
    <row r="1437" spans="1:9" ht="15" customHeight="1" x14ac:dyDescent="0.15">
      <c r="A1437" s="6"/>
      <c r="D1437" t="s">
        <v>90</v>
      </c>
      <c r="E1437" t="str">
        <f>E1384&amp;".52"</f>
        <v>16.52</v>
      </c>
      <c r="F1437" t="s">
        <v>2657</v>
      </c>
      <c r="G1437" t="s">
        <v>1980</v>
      </c>
      <c r="I1437">
        <v>174.82300000000001</v>
      </c>
    </row>
    <row r="1438" spans="1:9" ht="15" customHeight="1" x14ac:dyDescent="0.15">
      <c r="A1438" s="6"/>
      <c r="D1438" t="s">
        <v>90</v>
      </c>
      <c r="E1438" t="str">
        <f>E1384&amp;".53"</f>
        <v>16.53</v>
      </c>
      <c r="F1438" t="s">
        <v>2658</v>
      </c>
      <c r="G1438" t="s">
        <v>1980</v>
      </c>
      <c r="I1438">
        <v>209.315</v>
      </c>
    </row>
    <row r="1439" spans="1:9" ht="15" customHeight="1" x14ac:dyDescent="0.15">
      <c r="A1439" s="6"/>
      <c r="D1439" t="s">
        <v>90</v>
      </c>
      <c r="E1439" t="str">
        <f>E1384&amp;".54"</f>
        <v>16.54</v>
      </c>
      <c r="F1439" t="s">
        <v>2659</v>
      </c>
      <c r="G1439" t="s">
        <v>1980</v>
      </c>
      <c r="I1439">
        <v>235.47300000000001</v>
      </c>
    </row>
    <row r="1440" spans="1:9" ht="15" customHeight="1" x14ac:dyDescent="0.15">
      <c r="A1440" s="6"/>
      <c r="D1440" t="s">
        <v>90</v>
      </c>
      <c r="E1440" t="str">
        <f>E1384&amp;".55"</f>
        <v>16.55</v>
      </c>
      <c r="F1440" t="s">
        <v>2660</v>
      </c>
      <c r="G1440" t="s">
        <v>1980</v>
      </c>
      <c r="I1440">
        <v>185</v>
      </c>
    </row>
    <row r="1441" spans="1:9" ht="15" customHeight="1" x14ac:dyDescent="0.15">
      <c r="A1441" s="6"/>
      <c r="D1441" t="s">
        <v>90</v>
      </c>
      <c r="E1441" t="str">
        <f>E1384&amp;".56"</f>
        <v>16.56</v>
      </c>
      <c r="F1441" t="s">
        <v>2661</v>
      </c>
      <c r="G1441" t="s">
        <v>1980</v>
      </c>
      <c r="I1441">
        <v>187.4</v>
      </c>
    </row>
    <row r="1442" spans="1:9" ht="15" customHeight="1" x14ac:dyDescent="0.15">
      <c r="A1442" s="6"/>
      <c r="D1442" t="s">
        <v>90</v>
      </c>
      <c r="E1442" t="str">
        <f>E1384&amp;".57"</f>
        <v>16.57</v>
      </c>
      <c r="F1442" t="s">
        <v>2662</v>
      </c>
      <c r="G1442" t="s">
        <v>1980</v>
      </c>
      <c r="I1442">
        <v>226.166</v>
      </c>
    </row>
    <row r="1443" spans="1:9" ht="15" customHeight="1" x14ac:dyDescent="0.15">
      <c r="A1443" s="6"/>
      <c r="D1443" t="s">
        <v>90</v>
      </c>
      <c r="E1443" t="str">
        <f>E1384&amp;".58"</f>
        <v>16.58</v>
      </c>
      <c r="F1443" t="s">
        <v>2663</v>
      </c>
      <c r="G1443" t="s">
        <v>1980</v>
      </c>
      <c r="I1443">
        <v>219.87299999999999</v>
      </c>
    </row>
    <row r="1444" spans="1:9" ht="15" customHeight="1" x14ac:dyDescent="0.15">
      <c r="A1444" s="6"/>
      <c r="D1444" t="s">
        <v>90</v>
      </c>
      <c r="E1444" t="str">
        <f>E1384&amp;".59"</f>
        <v>16.59</v>
      </c>
      <c r="F1444" t="s">
        <v>2664</v>
      </c>
      <c r="G1444" t="s">
        <v>1980</v>
      </c>
      <c r="I1444">
        <v>210</v>
      </c>
    </row>
    <row r="1445" spans="1:9" ht="15" customHeight="1" x14ac:dyDescent="0.15">
      <c r="A1445" s="6"/>
      <c r="D1445" t="s">
        <v>90</v>
      </c>
      <c r="E1445" t="str">
        <f>E1384&amp;".60"</f>
        <v>16.60</v>
      </c>
      <c r="F1445" t="s">
        <v>2665</v>
      </c>
      <c r="G1445" t="s">
        <v>1980</v>
      </c>
      <c r="I1445">
        <v>210</v>
      </c>
    </row>
    <row r="1446" spans="1:9" ht="15" customHeight="1" x14ac:dyDescent="0.15">
      <c r="A1446" s="6"/>
      <c r="D1446" t="s">
        <v>90</v>
      </c>
      <c r="E1446" t="str">
        <f>E1384&amp;".61"</f>
        <v>16.61</v>
      </c>
      <c r="F1446" t="s">
        <v>2666</v>
      </c>
      <c r="G1446" t="s">
        <v>1980</v>
      </c>
      <c r="I1446">
        <v>210</v>
      </c>
    </row>
    <row r="1447" spans="1:9" ht="15" customHeight="1" x14ac:dyDescent="0.15">
      <c r="A1447" s="6"/>
      <c r="D1447" t="s">
        <v>90</v>
      </c>
      <c r="E1447" t="str">
        <f>E1384&amp;".62"</f>
        <v>16.62</v>
      </c>
      <c r="F1447" t="s">
        <v>2667</v>
      </c>
      <c r="G1447" t="s">
        <v>1980</v>
      </c>
      <c r="I1447">
        <v>225.52500000000001</v>
      </c>
    </row>
    <row r="1448" spans="1:9" ht="15" customHeight="1" x14ac:dyDescent="0.15">
      <c r="A1448" s="6"/>
      <c r="D1448" t="s">
        <v>90</v>
      </c>
      <c r="E1448" t="str">
        <f>E1384&amp;".63"</f>
        <v>16.63</v>
      </c>
      <c r="F1448" t="s">
        <v>2668</v>
      </c>
      <c r="G1448" t="s">
        <v>1980</v>
      </c>
      <c r="I1448">
        <v>210</v>
      </c>
    </row>
    <row r="1449" spans="1:9" ht="15" customHeight="1" x14ac:dyDescent="0.15">
      <c r="A1449" s="6"/>
      <c r="D1449" t="s">
        <v>90</v>
      </c>
      <c r="E1449" t="str">
        <f>E1384&amp;".64"</f>
        <v>16.64</v>
      </c>
      <c r="F1449" t="s">
        <v>2669</v>
      </c>
      <c r="G1449" t="s">
        <v>1980</v>
      </c>
      <c r="I1449">
        <v>215.29400000000001</v>
      </c>
    </row>
    <row r="1450" spans="1:9" ht="15" customHeight="1" x14ac:dyDescent="0.15">
      <c r="A1450" s="6"/>
      <c r="D1450" t="s">
        <v>90</v>
      </c>
      <c r="E1450" t="str">
        <f>E1384&amp;".65"</f>
        <v>16.65</v>
      </c>
      <c r="F1450" t="s">
        <v>2670</v>
      </c>
      <c r="G1450" t="s">
        <v>1980</v>
      </c>
      <c r="I1450">
        <v>210</v>
      </c>
    </row>
    <row r="1451" spans="1:9" ht="15" customHeight="1" x14ac:dyDescent="0.15">
      <c r="A1451" s="6"/>
      <c r="D1451" t="s">
        <v>90</v>
      </c>
      <c r="E1451" t="str">
        <f>E1384&amp;".66"</f>
        <v>16.66</v>
      </c>
      <c r="F1451" t="s">
        <v>2671</v>
      </c>
      <c r="G1451" t="s">
        <v>1980</v>
      </c>
      <c r="I1451">
        <v>216.47</v>
      </c>
    </row>
    <row r="1452" spans="1:9" ht="15" customHeight="1" x14ac:dyDescent="0.15">
      <c r="A1452" s="6"/>
      <c r="D1452" t="s">
        <v>90</v>
      </c>
      <c r="E1452" t="str">
        <f>E1384&amp;".67"</f>
        <v>16.67</v>
      </c>
      <c r="F1452" t="s">
        <v>2672</v>
      </c>
      <c r="G1452" t="s">
        <v>1980</v>
      </c>
      <c r="I1452">
        <v>216.005</v>
      </c>
    </row>
    <row r="1453" spans="1:9" ht="15" customHeight="1" x14ac:dyDescent="0.15">
      <c r="A1453" s="6"/>
      <c r="D1453" t="s">
        <v>90</v>
      </c>
      <c r="E1453" t="str">
        <f>E1384&amp;".68"</f>
        <v>16.68</v>
      </c>
      <c r="F1453" t="s">
        <v>2673</v>
      </c>
      <c r="G1453" t="s">
        <v>1980</v>
      </c>
      <c r="I1453">
        <v>234.84700000000001</v>
      </c>
    </row>
    <row r="1454" spans="1:9" ht="15" customHeight="1" x14ac:dyDescent="0.15">
      <c r="A1454" s="6"/>
      <c r="D1454" t="s">
        <v>90</v>
      </c>
      <c r="E1454" t="str">
        <f>E1384&amp;".69"</f>
        <v>16.69</v>
      </c>
      <c r="F1454" t="s">
        <v>2674</v>
      </c>
      <c r="G1454" t="s">
        <v>1980</v>
      </c>
      <c r="I1454">
        <v>210</v>
      </c>
    </row>
    <row r="1455" spans="1:9" ht="15" customHeight="1" x14ac:dyDescent="0.15">
      <c r="A1455" s="6"/>
      <c r="D1455" t="s">
        <v>90</v>
      </c>
      <c r="E1455" t="str">
        <f>E1384&amp;".70"</f>
        <v>16.70</v>
      </c>
      <c r="F1455" t="s">
        <v>2675</v>
      </c>
      <c r="G1455" t="s">
        <v>1980</v>
      </c>
      <c r="I1455">
        <v>210</v>
      </c>
    </row>
    <row r="1456" spans="1:9" ht="15" customHeight="1" x14ac:dyDescent="0.15">
      <c r="A1456" s="6"/>
      <c r="D1456" t="s">
        <v>90</v>
      </c>
      <c r="E1456" t="str">
        <f>E1384&amp;".71"</f>
        <v>16.71</v>
      </c>
      <c r="F1456" t="s">
        <v>2676</v>
      </c>
      <c r="G1456" t="s">
        <v>1980</v>
      </c>
      <c r="I1456">
        <v>212.506</v>
      </c>
    </row>
    <row r="1457" spans="1:9" ht="15" customHeight="1" x14ac:dyDescent="0.15">
      <c r="A1457" s="6"/>
      <c r="D1457" t="s">
        <v>90</v>
      </c>
      <c r="E1457" t="str">
        <f>E1384&amp;".72"</f>
        <v>16.72</v>
      </c>
      <c r="F1457" t="s">
        <v>2677</v>
      </c>
      <c r="G1457" t="s">
        <v>1980</v>
      </c>
      <c r="I1457">
        <v>210</v>
      </c>
    </row>
    <row r="1458" spans="1:9" ht="15" customHeight="1" x14ac:dyDescent="0.15">
      <c r="A1458" s="6"/>
      <c r="D1458" t="s">
        <v>90</v>
      </c>
      <c r="E1458" t="str">
        <f>E1384&amp;".73"</f>
        <v>16.73</v>
      </c>
      <c r="F1458" t="s">
        <v>2678</v>
      </c>
      <c r="G1458" t="s">
        <v>1980</v>
      </c>
      <c r="I1458">
        <v>239.17400000000001</v>
      </c>
    </row>
    <row r="1459" spans="1:9" ht="15" customHeight="1" x14ac:dyDescent="0.15">
      <c r="A1459" s="6"/>
      <c r="D1459" t="s">
        <v>90</v>
      </c>
      <c r="E1459" t="str">
        <f>E1384&amp;".74"</f>
        <v>16.74</v>
      </c>
      <c r="F1459" t="s">
        <v>2679</v>
      </c>
      <c r="G1459" t="s">
        <v>1980</v>
      </c>
      <c r="I1459">
        <v>261.11099999999999</v>
      </c>
    </row>
    <row r="1460" spans="1:9" ht="15" customHeight="1" x14ac:dyDescent="0.15">
      <c r="A1460" s="6"/>
      <c r="D1460" t="s">
        <v>90</v>
      </c>
      <c r="E1460" t="str">
        <f>E1384&amp;".75"</f>
        <v>16.75</v>
      </c>
      <c r="F1460" t="s">
        <v>2680</v>
      </c>
      <c r="G1460" t="s">
        <v>1980</v>
      </c>
      <c r="I1460">
        <v>168</v>
      </c>
    </row>
    <row r="1461" spans="1:9" ht="15" customHeight="1" x14ac:dyDescent="0.15">
      <c r="A1461" s="6"/>
      <c r="D1461" t="s">
        <v>90</v>
      </c>
      <c r="E1461" t="str">
        <f>E1384&amp;".76"</f>
        <v>16.76</v>
      </c>
      <c r="F1461" t="s">
        <v>2681</v>
      </c>
      <c r="G1461" t="s">
        <v>1980</v>
      </c>
      <c r="I1461">
        <v>170</v>
      </c>
    </row>
    <row r="1462" spans="1:9" ht="15" customHeight="1" x14ac:dyDescent="0.15">
      <c r="A1462" s="6"/>
      <c r="D1462" t="s">
        <v>90</v>
      </c>
      <c r="E1462" t="str">
        <f>E1384&amp;".77"</f>
        <v>16.77</v>
      </c>
      <c r="F1462" t="s">
        <v>2682</v>
      </c>
      <c r="G1462" t="s">
        <v>1980</v>
      </c>
      <c r="I1462">
        <v>314.822</v>
      </c>
    </row>
    <row r="1463" spans="1:9" ht="15" customHeight="1" x14ac:dyDescent="0.15">
      <c r="A1463" s="6"/>
      <c r="D1463" t="s">
        <v>90</v>
      </c>
      <c r="E1463" t="str">
        <f>E1384&amp;".78"</f>
        <v>16.78</v>
      </c>
      <c r="F1463" t="s">
        <v>2683</v>
      </c>
      <c r="G1463" t="s">
        <v>1980</v>
      </c>
      <c r="I1463">
        <v>234.09100000000001</v>
      </c>
    </row>
    <row r="1464" spans="1:9" ht="15" customHeight="1" x14ac:dyDescent="0.15">
      <c r="A1464" s="6"/>
      <c r="D1464" t="s">
        <v>90</v>
      </c>
      <c r="E1464" t="str">
        <f>E1384&amp;".79"</f>
        <v>16.79</v>
      </c>
      <c r="F1464" t="s">
        <v>2684</v>
      </c>
      <c r="G1464" t="s">
        <v>1980</v>
      </c>
      <c r="I1464">
        <v>218.881</v>
      </c>
    </row>
    <row r="1465" spans="1:9" ht="15" customHeight="1" x14ac:dyDescent="0.15">
      <c r="A1465" s="6"/>
      <c r="D1465" t="s">
        <v>90</v>
      </c>
      <c r="E1465" t="str">
        <f>E1384&amp;".80"</f>
        <v>16.80</v>
      </c>
      <c r="F1465" t="s">
        <v>2685</v>
      </c>
      <c r="G1465" t="s">
        <v>1980</v>
      </c>
      <c r="I1465">
        <v>239.67400000000001</v>
      </c>
    </row>
    <row r="1466" spans="1:9" ht="15" customHeight="1" x14ac:dyDescent="0.15">
      <c r="A1466" s="6"/>
      <c r="D1466" t="s">
        <v>90</v>
      </c>
      <c r="E1466" t="str">
        <f>E1384&amp;".81"</f>
        <v>16.81</v>
      </c>
      <c r="F1466" t="s">
        <v>2686</v>
      </c>
      <c r="G1466" t="s">
        <v>1980</v>
      </c>
      <c r="I1466">
        <v>257.57100000000003</v>
      </c>
    </row>
    <row r="1467" spans="1:9" ht="15" customHeight="1" x14ac:dyDescent="0.15">
      <c r="A1467" s="6"/>
      <c r="D1467" t="s">
        <v>90</v>
      </c>
      <c r="E1467" t="str">
        <f>E1384&amp;".82"</f>
        <v>16.82</v>
      </c>
      <c r="F1467" t="s">
        <v>2687</v>
      </c>
      <c r="G1467" t="s">
        <v>1980</v>
      </c>
      <c r="I1467">
        <v>175</v>
      </c>
    </row>
    <row r="1468" spans="1:9" ht="15" customHeight="1" x14ac:dyDescent="0.15">
      <c r="A1468" s="6"/>
      <c r="D1468" t="s">
        <v>90</v>
      </c>
      <c r="E1468" t="str">
        <f>E1384&amp;".83"</f>
        <v>16.83</v>
      </c>
      <c r="F1468" t="s">
        <v>2688</v>
      </c>
      <c r="G1468" t="s">
        <v>1980</v>
      </c>
      <c r="I1468">
        <v>179</v>
      </c>
    </row>
    <row r="1469" spans="1:9" ht="15" customHeight="1" x14ac:dyDescent="0.15">
      <c r="A1469" s="6"/>
      <c r="D1469" t="s">
        <v>90</v>
      </c>
      <c r="E1469" t="str">
        <f>E1384&amp;".84"</f>
        <v>16.84</v>
      </c>
      <c r="F1469" t="s">
        <v>2689</v>
      </c>
      <c r="G1469" t="s">
        <v>1980</v>
      </c>
      <c r="I1469">
        <v>238</v>
      </c>
    </row>
    <row r="1470" spans="1:9" ht="15" customHeight="1" x14ac:dyDescent="0.15">
      <c r="A1470" s="6"/>
      <c r="D1470" t="s">
        <v>90</v>
      </c>
      <c r="E1470" t="str">
        <f>E1384&amp;".85"</f>
        <v>16.85</v>
      </c>
      <c r="F1470" t="s">
        <v>2690</v>
      </c>
      <c r="G1470" t="s">
        <v>1980</v>
      </c>
      <c r="I1470">
        <v>217.352</v>
      </c>
    </row>
    <row r="1471" spans="1:9" ht="15" customHeight="1" x14ac:dyDescent="0.15">
      <c r="A1471" s="6"/>
      <c r="D1471" t="s">
        <v>90</v>
      </c>
      <c r="E1471" t="str">
        <f>E1384&amp;".86"</f>
        <v>16.86</v>
      </c>
      <c r="F1471" t="s">
        <v>2691</v>
      </c>
      <c r="G1471" t="s">
        <v>1980</v>
      </c>
      <c r="I1471">
        <v>239.298</v>
      </c>
    </row>
    <row r="1472" spans="1:9" ht="15" customHeight="1" x14ac:dyDescent="0.15">
      <c r="A1472" s="6"/>
      <c r="D1472" t="s">
        <v>90</v>
      </c>
      <c r="E1472" t="str">
        <f>E1384&amp;".87"</f>
        <v>16.87</v>
      </c>
      <c r="F1472" t="s">
        <v>2692</v>
      </c>
      <c r="G1472" t="s">
        <v>1980</v>
      </c>
      <c r="I1472">
        <v>210</v>
      </c>
    </row>
    <row r="1473" spans="1:9" ht="15" customHeight="1" x14ac:dyDescent="0.15">
      <c r="A1473" s="6"/>
      <c r="D1473" t="s">
        <v>90</v>
      </c>
      <c r="E1473" t="str">
        <f>E1384&amp;".88"</f>
        <v>16.88</v>
      </c>
      <c r="F1473" t="s">
        <v>2693</v>
      </c>
      <c r="G1473" t="s">
        <v>1980</v>
      </c>
      <c r="I1473">
        <v>210</v>
      </c>
    </row>
    <row r="1474" spans="1:9" ht="15" customHeight="1" x14ac:dyDescent="0.15">
      <c r="A1474" s="6"/>
      <c r="D1474" t="s">
        <v>90</v>
      </c>
      <c r="E1474" t="str">
        <f>E1384&amp;".89"</f>
        <v>16.89</v>
      </c>
      <c r="F1474" t="s">
        <v>2694</v>
      </c>
      <c r="G1474" t="s">
        <v>1980</v>
      </c>
      <c r="I1474">
        <v>210</v>
      </c>
    </row>
    <row r="1475" spans="1:9" ht="15" customHeight="1" x14ac:dyDescent="0.15">
      <c r="A1475" s="6"/>
      <c r="D1475" t="s">
        <v>90</v>
      </c>
      <c r="E1475" t="str">
        <f>E1384&amp;".90"</f>
        <v>16.90</v>
      </c>
      <c r="F1475" t="s">
        <v>2695</v>
      </c>
      <c r="G1475" t="s">
        <v>1980</v>
      </c>
      <c r="I1475">
        <v>210</v>
      </c>
    </row>
    <row r="1476" spans="1:9" ht="15" customHeight="1" x14ac:dyDescent="0.15">
      <c r="A1476" s="6"/>
      <c r="D1476" t="s">
        <v>90</v>
      </c>
      <c r="E1476" t="str">
        <f>E1384&amp;".91"</f>
        <v>16.91</v>
      </c>
      <c r="F1476" t="s">
        <v>2696</v>
      </c>
      <c r="G1476" t="s">
        <v>1980</v>
      </c>
      <c r="I1476">
        <v>220</v>
      </c>
    </row>
    <row r="1477" spans="1:9" ht="15" customHeight="1" x14ac:dyDescent="0.15">
      <c r="A1477" s="6"/>
      <c r="D1477" t="s">
        <v>90</v>
      </c>
      <c r="E1477" t="str">
        <f>E1384&amp;".92"</f>
        <v>16.92</v>
      </c>
      <c r="F1477" t="s">
        <v>2697</v>
      </c>
      <c r="G1477" t="s">
        <v>1980</v>
      </c>
      <c r="I1477">
        <v>178</v>
      </c>
    </row>
    <row r="1478" spans="1:9" ht="15" customHeight="1" x14ac:dyDescent="0.15">
      <c r="A1478" s="6"/>
      <c r="D1478" t="s">
        <v>90</v>
      </c>
      <c r="E1478" t="str">
        <f>E1384&amp;".93"</f>
        <v>16.93</v>
      </c>
      <c r="F1478" t="s">
        <v>2698</v>
      </c>
      <c r="G1478" t="s">
        <v>1980</v>
      </c>
      <c r="I1478">
        <v>219.8</v>
      </c>
    </row>
    <row r="1479" spans="1:9" ht="15" customHeight="1" x14ac:dyDescent="0.15">
      <c r="A1479" s="6"/>
      <c r="D1479" t="s">
        <v>90</v>
      </c>
      <c r="E1479" t="str">
        <f>E1384&amp;".94"</f>
        <v>16.94</v>
      </c>
      <c r="F1479" t="s">
        <v>2699</v>
      </c>
      <c r="G1479" t="s">
        <v>1980</v>
      </c>
      <c r="I1479">
        <v>240</v>
      </c>
    </row>
    <row r="1480" spans="1:9" ht="15" customHeight="1" x14ac:dyDescent="0.15">
      <c r="A1480" s="6"/>
      <c r="D1480" t="s">
        <v>90</v>
      </c>
      <c r="E1480" t="str">
        <f>E1384&amp;".95"</f>
        <v>16.95</v>
      </c>
      <c r="F1480" t="s">
        <v>2700</v>
      </c>
      <c r="G1480" t="s">
        <v>1980</v>
      </c>
      <c r="I1480">
        <v>258</v>
      </c>
    </row>
    <row r="1481" spans="1:9" ht="15" customHeight="1" x14ac:dyDescent="0.15">
      <c r="A1481" s="6"/>
      <c r="D1481" t="s">
        <v>90</v>
      </c>
      <c r="E1481" t="str">
        <f>E1384&amp;".96"</f>
        <v>16.96</v>
      </c>
      <c r="F1481" t="s">
        <v>2701</v>
      </c>
      <c r="G1481" t="s">
        <v>1980</v>
      </c>
      <c r="I1481">
        <v>239.53899999999999</v>
      </c>
    </row>
    <row r="1482" spans="1:9" ht="15" customHeight="1" x14ac:dyDescent="0.15">
      <c r="A1482" s="6"/>
      <c r="D1482" t="s">
        <v>90</v>
      </c>
      <c r="E1482" t="str">
        <f>E1384&amp;".97"</f>
        <v>16.97</v>
      </c>
      <c r="F1482" t="s">
        <v>2702</v>
      </c>
      <c r="G1482" t="s">
        <v>1980</v>
      </c>
      <c r="I1482">
        <v>241.07300000000001</v>
      </c>
    </row>
    <row r="1483" spans="1:9" ht="15" customHeight="1" x14ac:dyDescent="0.15">
      <c r="A1483" s="6"/>
      <c r="D1483" t="s">
        <v>90</v>
      </c>
      <c r="E1483" t="str">
        <f>E1384&amp;".98"</f>
        <v>16.98</v>
      </c>
      <c r="F1483" t="s">
        <v>2703</v>
      </c>
      <c r="G1483" t="s">
        <v>1980</v>
      </c>
      <c r="I1483">
        <v>204</v>
      </c>
    </row>
    <row r="1484" spans="1:9" ht="15" customHeight="1" x14ac:dyDescent="0.15">
      <c r="A1484" s="6"/>
      <c r="D1484" t="s">
        <v>90</v>
      </c>
      <c r="E1484" t="str">
        <f>E1384&amp;".99"</f>
        <v>16.99</v>
      </c>
      <c r="F1484" t="s">
        <v>2704</v>
      </c>
      <c r="G1484" t="s">
        <v>1980</v>
      </c>
      <c r="I1484">
        <v>210.1</v>
      </c>
    </row>
    <row r="1485" spans="1:9" ht="15" customHeight="1" x14ac:dyDescent="0.15">
      <c r="A1485" s="6"/>
      <c r="D1485" t="s">
        <v>90</v>
      </c>
      <c r="E1485" t="str">
        <f>E1384&amp;".100"</f>
        <v>16.100</v>
      </c>
      <c r="F1485" t="s">
        <v>2705</v>
      </c>
      <c r="G1485" t="s">
        <v>1980</v>
      </c>
      <c r="I1485">
        <v>216</v>
      </c>
    </row>
    <row r="1486" spans="1:9" ht="15" customHeight="1" x14ac:dyDescent="0.15">
      <c r="A1486" s="6"/>
      <c r="D1486" t="s">
        <v>90</v>
      </c>
      <c r="E1486" t="str">
        <f>E1384&amp;".101"</f>
        <v>16.101</v>
      </c>
      <c r="F1486" t="s">
        <v>2706</v>
      </c>
      <c r="G1486" t="s">
        <v>1980</v>
      </c>
      <c r="I1486">
        <v>209</v>
      </c>
    </row>
    <row r="1487" spans="1:9" ht="15" customHeight="1" x14ac:dyDescent="0.15">
      <c r="A1487" s="6"/>
      <c r="D1487" t="s">
        <v>90</v>
      </c>
      <c r="E1487" t="str">
        <f>E1384&amp;".102"</f>
        <v>16.102</v>
      </c>
      <c r="F1487" t="s">
        <v>2707</v>
      </c>
      <c r="G1487" t="s">
        <v>1980</v>
      </c>
      <c r="I1487">
        <v>204</v>
      </c>
    </row>
    <row r="1488" spans="1:9" ht="15" customHeight="1" x14ac:dyDescent="0.15">
      <c r="A1488" s="6"/>
      <c r="D1488" t="s">
        <v>90</v>
      </c>
      <c r="E1488" t="str">
        <f>E1384&amp;".103"</f>
        <v>16.103</v>
      </c>
      <c r="F1488" t="s">
        <v>2708</v>
      </c>
      <c r="G1488" t="s">
        <v>1980</v>
      </c>
      <c r="I1488">
        <v>240</v>
      </c>
    </row>
    <row r="1489" spans="1:9" ht="15" customHeight="1" x14ac:dyDescent="0.15">
      <c r="A1489" s="6"/>
      <c r="D1489" t="s">
        <v>90</v>
      </c>
      <c r="E1489" t="str">
        <f>E1384&amp;".104"</f>
        <v>16.104</v>
      </c>
      <c r="F1489" t="s">
        <v>2709</v>
      </c>
      <c r="G1489" t="s">
        <v>1980</v>
      </c>
      <c r="I1489">
        <v>265</v>
      </c>
    </row>
    <row r="1490" spans="1:9" ht="15" customHeight="1" x14ac:dyDescent="0.15">
      <c r="A1490" s="6"/>
      <c r="D1490" t="s">
        <v>90</v>
      </c>
      <c r="E1490" t="str">
        <f>E1384&amp;".105"</f>
        <v>16.105</v>
      </c>
      <c r="F1490" t="s">
        <v>2710</v>
      </c>
      <c r="G1490" t="s">
        <v>1980</v>
      </c>
      <c r="I1490">
        <v>220</v>
      </c>
    </row>
    <row r="1491" spans="1:9" ht="15" customHeight="1" x14ac:dyDescent="0.15">
      <c r="A1491" s="6"/>
      <c r="D1491" t="s">
        <v>90</v>
      </c>
      <c r="E1491" t="str">
        <f>E1384&amp;".106"</f>
        <v>16.106</v>
      </c>
      <c r="F1491" t="s">
        <v>2711</v>
      </c>
      <c r="G1491" t="s">
        <v>1980</v>
      </c>
      <c r="I1491">
        <v>220</v>
      </c>
    </row>
    <row r="1492" spans="1:9" ht="15" customHeight="1" x14ac:dyDescent="0.15">
      <c r="A1492" s="6"/>
      <c r="D1492" t="s">
        <v>90</v>
      </c>
      <c r="E1492" t="str">
        <f>E1384&amp;".107"</f>
        <v>16.107</v>
      </c>
      <c r="F1492" t="s">
        <v>2712</v>
      </c>
      <c r="G1492" t="s">
        <v>1980</v>
      </c>
      <c r="I1492">
        <v>202.28</v>
      </c>
    </row>
    <row r="1493" spans="1:9" ht="15" customHeight="1" x14ac:dyDescent="0.15">
      <c r="A1493" s="6"/>
      <c r="D1493" t="s">
        <v>90</v>
      </c>
      <c r="E1493" t="str">
        <f>E1384&amp;".108"</f>
        <v>16.108</v>
      </c>
      <c r="F1493" t="s">
        <v>2713</v>
      </c>
      <c r="G1493" t="s">
        <v>1980</v>
      </c>
      <c r="I1493">
        <v>240</v>
      </c>
    </row>
    <row r="1494" spans="1:9" ht="15" customHeight="1" x14ac:dyDescent="0.15">
      <c r="A1494" s="6"/>
      <c r="D1494" t="s">
        <v>90</v>
      </c>
      <c r="E1494" t="str">
        <f>E1384&amp;".109"</f>
        <v>16.109</v>
      </c>
      <c r="F1494" t="s">
        <v>2714</v>
      </c>
      <c r="G1494" t="s">
        <v>1980</v>
      </c>
      <c r="I1494">
        <v>216.535</v>
      </c>
    </row>
    <row r="1495" spans="1:9" ht="15" customHeight="1" x14ac:dyDescent="0.15">
      <c r="A1495" s="6"/>
      <c r="D1495" t="s">
        <v>90</v>
      </c>
      <c r="E1495" t="str">
        <f>E1384&amp;".110"</f>
        <v>16.110</v>
      </c>
      <c r="F1495" t="s">
        <v>2715</v>
      </c>
      <c r="G1495" t="s">
        <v>1980</v>
      </c>
      <c r="I1495">
        <v>209.99799999999999</v>
      </c>
    </row>
    <row r="1496" spans="1:9" ht="15" customHeight="1" x14ac:dyDescent="0.15">
      <c r="A1496" s="6"/>
      <c r="D1496" t="s">
        <v>90</v>
      </c>
      <c r="E1496" t="str">
        <f>E1384&amp;".111"</f>
        <v>16.111</v>
      </c>
      <c r="F1496" t="s">
        <v>2716</v>
      </c>
      <c r="G1496" t="s">
        <v>1980</v>
      </c>
      <c r="I1496">
        <v>196.029</v>
      </c>
    </row>
    <row r="1497" spans="1:9" ht="15" customHeight="1" x14ac:dyDescent="0.15">
      <c r="A1497" s="6"/>
      <c r="D1497" t="s">
        <v>90</v>
      </c>
      <c r="E1497" t="str">
        <f>E1384&amp;".112"</f>
        <v>16.112</v>
      </c>
      <c r="F1497" t="s">
        <v>2717</v>
      </c>
      <c r="G1497" t="s">
        <v>1980</v>
      </c>
      <c r="I1497">
        <v>210</v>
      </c>
    </row>
    <row r="1498" spans="1:9" ht="15" customHeight="1" x14ac:dyDescent="0.15">
      <c r="A1498" s="6"/>
      <c r="D1498" t="s">
        <v>90</v>
      </c>
      <c r="E1498" t="str">
        <f>E1384&amp;".113"</f>
        <v>16.113</v>
      </c>
      <c r="F1498" t="s">
        <v>2110</v>
      </c>
      <c r="G1498" t="s">
        <v>1980</v>
      </c>
      <c r="I1498">
        <v>209.999</v>
      </c>
    </row>
    <row r="1499" spans="1:9" ht="15" customHeight="1" x14ac:dyDescent="0.15">
      <c r="A1499" s="6"/>
      <c r="D1499" t="s">
        <v>90</v>
      </c>
      <c r="E1499" t="str">
        <f>E1384&amp;".114"</f>
        <v>16.114</v>
      </c>
      <c r="F1499" t="s">
        <v>2718</v>
      </c>
      <c r="G1499" t="s">
        <v>1980</v>
      </c>
      <c r="I1499">
        <v>194.626</v>
      </c>
    </row>
    <row r="1500" spans="1:9" ht="15" customHeight="1" x14ac:dyDescent="0.15">
      <c r="A1500" s="6"/>
      <c r="D1500" t="s">
        <v>90</v>
      </c>
      <c r="E1500" t="str">
        <f>E1384&amp;".115"</f>
        <v>16.115</v>
      </c>
      <c r="F1500" t="s">
        <v>2719</v>
      </c>
      <c r="G1500" t="s">
        <v>1980</v>
      </c>
      <c r="I1500">
        <v>231.999</v>
      </c>
    </row>
    <row r="1501" spans="1:9" ht="15" customHeight="1" x14ac:dyDescent="0.15">
      <c r="A1501" s="6"/>
      <c r="D1501" t="s">
        <v>90</v>
      </c>
      <c r="E1501" t="str">
        <f>E1384&amp;".116"</f>
        <v>16.116</v>
      </c>
      <c r="F1501" t="s">
        <v>2720</v>
      </c>
      <c r="G1501" t="s">
        <v>1980</v>
      </c>
      <c r="I1501">
        <v>207.34299999999999</v>
      </c>
    </row>
    <row r="1502" spans="1:9" ht="15" customHeight="1" x14ac:dyDescent="0.15">
      <c r="A1502" s="6"/>
      <c r="D1502" t="s">
        <v>90</v>
      </c>
      <c r="E1502" t="str">
        <f>E1384&amp;".117"</f>
        <v>16.117</v>
      </c>
      <c r="F1502" t="s">
        <v>2721</v>
      </c>
      <c r="G1502" t="s">
        <v>1980</v>
      </c>
      <c r="I1502">
        <v>216.27</v>
      </c>
    </row>
    <row r="1503" spans="1:9" ht="15" customHeight="1" x14ac:dyDescent="0.15">
      <c r="A1503" s="6"/>
      <c r="D1503" t="s">
        <v>90</v>
      </c>
      <c r="E1503" t="str">
        <f>E1384&amp;".118"</f>
        <v>16.118</v>
      </c>
      <c r="F1503" t="s">
        <v>2109</v>
      </c>
      <c r="G1503" t="s">
        <v>1980</v>
      </c>
      <c r="I1503">
        <v>229.77199999999999</v>
      </c>
    </row>
    <row r="1504" spans="1:9" ht="15" customHeight="1" x14ac:dyDescent="0.15">
      <c r="A1504" s="6"/>
      <c r="D1504" t="s">
        <v>90</v>
      </c>
      <c r="E1504" t="str">
        <f>E1384&amp;".119"</f>
        <v>16.119</v>
      </c>
      <c r="F1504" t="s">
        <v>2722</v>
      </c>
      <c r="G1504" t="s">
        <v>1980</v>
      </c>
      <c r="I1504">
        <v>229.999</v>
      </c>
    </row>
    <row r="1505" spans="1:9" ht="15" customHeight="1" x14ac:dyDescent="0.15">
      <c r="A1505" s="6"/>
      <c r="D1505" t="s">
        <v>90</v>
      </c>
      <c r="E1505" t="str">
        <f>E1384&amp;".120"</f>
        <v>16.120</v>
      </c>
      <c r="F1505" t="s">
        <v>2723</v>
      </c>
      <c r="G1505" t="s">
        <v>1980</v>
      </c>
      <c r="I1505">
        <v>176.37</v>
      </c>
    </row>
    <row r="1506" spans="1:9" ht="15" customHeight="1" x14ac:dyDescent="0.15">
      <c r="A1506" s="6"/>
      <c r="D1506" t="s">
        <v>90</v>
      </c>
      <c r="E1506" t="str">
        <f>E1384&amp;".121"</f>
        <v>16.121</v>
      </c>
      <c r="F1506" t="s">
        <v>2724</v>
      </c>
      <c r="G1506" t="s">
        <v>1980</v>
      </c>
      <c r="I1506">
        <v>242.79900000000001</v>
      </c>
    </row>
    <row r="1507" spans="1:9" ht="15" customHeight="1" x14ac:dyDescent="0.15">
      <c r="A1507" s="6"/>
      <c r="D1507" t="s">
        <v>90</v>
      </c>
      <c r="E1507" t="str">
        <f>E1384&amp;".122"</f>
        <v>16.122</v>
      </c>
      <c r="F1507" t="s">
        <v>2725</v>
      </c>
      <c r="G1507" t="s">
        <v>1980</v>
      </c>
      <c r="I1507">
        <v>241.155</v>
      </c>
    </row>
    <row r="1508" spans="1:9" ht="15" customHeight="1" x14ac:dyDescent="0.15">
      <c r="A1508" s="6"/>
      <c r="D1508" t="s">
        <v>90</v>
      </c>
      <c r="E1508" t="str">
        <f>E1384&amp;".123"</f>
        <v>16.123</v>
      </c>
      <c r="F1508" t="s">
        <v>2726</v>
      </c>
      <c r="G1508" t="s">
        <v>1980</v>
      </c>
      <c r="I1508">
        <v>268.98700000000002</v>
      </c>
    </row>
    <row r="1509" spans="1:9" ht="15" customHeight="1" x14ac:dyDescent="0.15">
      <c r="A1509" s="6"/>
      <c r="D1509" t="s">
        <v>90</v>
      </c>
      <c r="E1509" t="str">
        <f>E1384&amp;".124"</f>
        <v>16.124</v>
      </c>
      <c r="F1509" t="s">
        <v>2727</v>
      </c>
      <c r="G1509" t="s">
        <v>1980</v>
      </c>
      <c r="I1509">
        <v>232.91</v>
      </c>
    </row>
    <row r="1510" spans="1:9" ht="15" customHeight="1" x14ac:dyDescent="0.15">
      <c r="A1510" s="6"/>
      <c r="D1510" t="s">
        <v>90</v>
      </c>
      <c r="E1510" t="str">
        <f>E1384&amp;".125"</f>
        <v>16.125</v>
      </c>
      <c r="F1510" t="s">
        <v>2728</v>
      </c>
      <c r="G1510" t="s">
        <v>1980</v>
      </c>
      <c r="I1510">
        <v>229.17400000000001</v>
      </c>
    </row>
    <row r="1511" spans="1:9" ht="15" customHeight="1" x14ac:dyDescent="0.15">
      <c r="A1511" s="6"/>
      <c r="D1511" t="s">
        <v>90</v>
      </c>
      <c r="E1511" t="str">
        <f>E1384&amp;".126"</f>
        <v>16.126</v>
      </c>
      <c r="F1511" t="s">
        <v>2729</v>
      </c>
      <c r="G1511" t="s">
        <v>1980</v>
      </c>
      <c r="I1511">
        <v>221.685</v>
      </c>
    </row>
    <row r="1512" spans="1:9" ht="15" customHeight="1" x14ac:dyDescent="0.15">
      <c r="A1512" s="6"/>
      <c r="D1512" t="s">
        <v>90</v>
      </c>
      <c r="E1512" t="str">
        <f>E1384&amp;".127"</f>
        <v>16.127</v>
      </c>
      <c r="F1512" t="s">
        <v>2118</v>
      </c>
      <c r="G1512" t="s">
        <v>1980</v>
      </c>
      <c r="I1512">
        <v>238.827</v>
      </c>
    </row>
    <row r="1513" spans="1:9" ht="15" customHeight="1" x14ac:dyDescent="0.15">
      <c r="A1513" s="6"/>
      <c r="D1513" t="s">
        <v>90</v>
      </c>
      <c r="E1513" t="str">
        <f>E1384&amp;".128"</f>
        <v>16.128</v>
      </c>
      <c r="F1513" t="s">
        <v>2117</v>
      </c>
      <c r="G1513" t="s">
        <v>1980</v>
      </c>
      <c r="I1513">
        <v>236.904</v>
      </c>
    </row>
    <row r="1514" spans="1:9" ht="15" customHeight="1" x14ac:dyDescent="0.15">
      <c r="A1514" s="6"/>
      <c r="D1514" t="s">
        <v>90</v>
      </c>
      <c r="E1514" t="str">
        <f>E1384&amp;".129"</f>
        <v>16.129</v>
      </c>
      <c r="F1514" t="s">
        <v>2730</v>
      </c>
      <c r="G1514" t="s">
        <v>1980</v>
      </c>
      <c r="I1514">
        <v>179.184</v>
      </c>
    </row>
    <row r="1515" spans="1:9" ht="15" customHeight="1" x14ac:dyDescent="0.15">
      <c r="A1515" s="6"/>
      <c r="D1515" t="s">
        <v>90</v>
      </c>
      <c r="E1515" t="str">
        <f>E1384&amp;".130"</f>
        <v>16.130</v>
      </c>
      <c r="F1515" t="s">
        <v>2731</v>
      </c>
      <c r="G1515" t="s">
        <v>1980</v>
      </c>
      <c r="I1515">
        <v>257.92500000000001</v>
      </c>
    </row>
    <row r="1516" spans="1:9" ht="15" customHeight="1" x14ac:dyDescent="0.15">
      <c r="A1516" s="6"/>
      <c r="D1516" t="s">
        <v>90</v>
      </c>
      <c r="E1516" t="str">
        <f>E1384&amp;".131"</f>
        <v>16.131</v>
      </c>
      <c r="F1516" t="s">
        <v>2732</v>
      </c>
      <c r="G1516" t="s">
        <v>1980</v>
      </c>
      <c r="I1516">
        <v>204</v>
      </c>
    </row>
    <row r="1517" spans="1:9" ht="15" customHeight="1" x14ac:dyDescent="0.15">
      <c r="A1517" s="6"/>
      <c r="D1517" t="s">
        <v>90</v>
      </c>
      <c r="E1517" t="str">
        <f>E1384&amp;".132"</f>
        <v>16.132</v>
      </c>
      <c r="F1517" t="s">
        <v>2733</v>
      </c>
      <c r="G1517" t="s">
        <v>1980</v>
      </c>
      <c r="I1517">
        <v>210</v>
      </c>
    </row>
    <row r="1518" spans="1:9" ht="15" customHeight="1" x14ac:dyDescent="0.15">
      <c r="A1518" s="6"/>
      <c r="D1518" t="s">
        <v>90</v>
      </c>
      <c r="E1518" t="str">
        <f>E1384&amp;".133"</f>
        <v>16.133</v>
      </c>
      <c r="F1518" t="s">
        <v>2734</v>
      </c>
      <c r="G1518" t="s">
        <v>1980</v>
      </c>
      <c r="I1518">
        <v>210</v>
      </c>
    </row>
    <row r="1519" spans="1:9" ht="15" customHeight="1" x14ac:dyDescent="0.15">
      <c r="A1519" s="6"/>
      <c r="D1519" t="s">
        <v>90</v>
      </c>
      <c r="E1519" t="str">
        <f>E1384&amp;".134"</f>
        <v>16.134</v>
      </c>
      <c r="F1519" t="s">
        <v>2735</v>
      </c>
      <c r="G1519" t="s">
        <v>1980</v>
      </c>
      <c r="I1519">
        <v>210</v>
      </c>
    </row>
    <row r="1520" spans="1:9" ht="15" customHeight="1" x14ac:dyDescent="0.15">
      <c r="A1520" s="6"/>
      <c r="D1520" t="s">
        <v>90</v>
      </c>
      <c r="E1520" t="str">
        <f>E1384&amp;".135"</f>
        <v>16.135</v>
      </c>
      <c r="F1520" t="s">
        <v>2736</v>
      </c>
      <c r="G1520" t="s">
        <v>1980</v>
      </c>
      <c r="I1520">
        <v>210</v>
      </c>
    </row>
    <row r="1521" spans="1:9" ht="15" customHeight="1" x14ac:dyDescent="0.15">
      <c r="A1521" s="6"/>
      <c r="D1521" t="s">
        <v>90</v>
      </c>
      <c r="E1521" t="str">
        <f>E1384&amp;".136"</f>
        <v>16.136</v>
      </c>
      <c r="F1521" t="s">
        <v>2737</v>
      </c>
      <c r="G1521" t="s">
        <v>1980</v>
      </c>
      <c r="I1521">
        <v>202.43700000000001</v>
      </c>
    </row>
    <row r="1522" spans="1:9" ht="15" customHeight="1" x14ac:dyDescent="0.15">
      <c r="A1522" s="6"/>
      <c r="D1522" t="s">
        <v>90</v>
      </c>
      <c r="E1522" t="str">
        <f>E1384&amp;".137"</f>
        <v>16.137</v>
      </c>
      <c r="F1522" t="s">
        <v>2738</v>
      </c>
      <c r="G1522" t="s">
        <v>1980</v>
      </c>
      <c r="I1522">
        <v>203.90100000000001</v>
      </c>
    </row>
    <row r="1523" spans="1:9" ht="15" customHeight="1" x14ac:dyDescent="0.15">
      <c r="A1523" s="6"/>
      <c r="D1523" t="s">
        <v>90</v>
      </c>
      <c r="E1523" t="str">
        <f>E1384&amp;".138"</f>
        <v>16.138</v>
      </c>
      <c r="F1523" t="s">
        <v>2739</v>
      </c>
      <c r="G1523" t="s">
        <v>1980</v>
      </c>
      <c r="I1523">
        <v>165</v>
      </c>
    </row>
    <row r="1524" spans="1:9" ht="15" customHeight="1" x14ac:dyDescent="0.15">
      <c r="A1524" s="6"/>
      <c r="D1524" t="s">
        <v>90</v>
      </c>
      <c r="E1524" t="str">
        <f>E1384&amp;".139"</f>
        <v>16.139</v>
      </c>
      <c r="F1524" t="s">
        <v>2740</v>
      </c>
      <c r="G1524" t="s">
        <v>1980</v>
      </c>
      <c r="I1524">
        <v>169.57900000000001</v>
      </c>
    </row>
    <row r="1525" spans="1:9" ht="15" customHeight="1" x14ac:dyDescent="0.15">
      <c r="A1525" s="6"/>
      <c r="D1525" t="s">
        <v>90</v>
      </c>
      <c r="E1525" t="str">
        <f>E1384&amp;".140"</f>
        <v>16.140</v>
      </c>
      <c r="F1525" t="s">
        <v>2741</v>
      </c>
      <c r="G1525" t="s">
        <v>1980</v>
      </c>
      <c r="I1525">
        <v>164.61</v>
      </c>
    </row>
    <row r="1526" spans="1:9" ht="15" customHeight="1" x14ac:dyDescent="0.15">
      <c r="A1526" s="6"/>
      <c r="D1526" t="s">
        <v>90</v>
      </c>
      <c r="E1526" t="str">
        <f>E1384&amp;".141"</f>
        <v>16.141</v>
      </c>
      <c r="F1526" t="s">
        <v>2742</v>
      </c>
      <c r="G1526" t="s">
        <v>1980</v>
      </c>
      <c r="I1526">
        <v>190.167</v>
      </c>
    </row>
    <row r="1527" spans="1:9" ht="15" customHeight="1" x14ac:dyDescent="0.15">
      <c r="A1527" s="6"/>
      <c r="D1527" t="s">
        <v>90</v>
      </c>
      <c r="E1527" t="str">
        <f>E1384&amp;".142"</f>
        <v>16.142</v>
      </c>
      <c r="F1527" t="s">
        <v>2743</v>
      </c>
      <c r="G1527" t="s">
        <v>1980</v>
      </c>
      <c r="I1527">
        <v>171.99799999999999</v>
      </c>
    </row>
    <row r="1528" spans="1:9" ht="15" customHeight="1" x14ac:dyDescent="0.15">
      <c r="A1528" s="6"/>
      <c r="D1528" t="s">
        <v>90</v>
      </c>
      <c r="E1528" t="str">
        <f>E1384&amp;".143"</f>
        <v>16.143</v>
      </c>
      <c r="F1528" t="s">
        <v>2744</v>
      </c>
      <c r="G1528" t="s">
        <v>1980</v>
      </c>
      <c r="I1528">
        <v>171</v>
      </c>
    </row>
    <row r="1529" spans="1:9" ht="15" customHeight="1" x14ac:dyDescent="0.15">
      <c r="A1529" s="6"/>
      <c r="D1529" t="s">
        <v>90</v>
      </c>
      <c r="E1529" t="str">
        <f>E1384&amp;".144"</f>
        <v>16.144</v>
      </c>
      <c r="F1529" t="s">
        <v>2745</v>
      </c>
      <c r="G1529" t="s">
        <v>1980</v>
      </c>
      <c r="I1529">
        <v>248</v>
      </c>
    </row>
    <row r="1530" spans="1:9" ht="15" customHeight="1" x14ac:dyDescent="0.15">
      <c r="A1530" s="6"/>
      <c r="D1530" t="s">
        <v>90</v>
      </c>
      <c r="E1530" t="str">
        <f>E1384&amp;".145"</f>
        <v>16.145</v>
      </c>
      <c r="F1530" t="s">
        <v>2746</v>
      </c>
      <c r="G1530" t="s">
        <v>1980</v>
      </c>
      <c r="I1530">
        <v>173.60400000000001</v>
      </c>
    </row>
    <row r="1531" spans="1:9" ht="15" customHeight="1" x14ac:dyDescent="0.15">
      <c r="A1531" s="6"/>
      <c r="D1531" t="s">
        <v>90</v>
      </c>
      <c r="E1531" t="str">
        <f>E1384&amp;".146"</f>
        <v>16.146</v>
      </c>
      <c r="F1531" t="s">
        <v>2747</v>
      </c>
      <c r="G1531" t="s">
        <v>1980</v>
      </c>
      <c r="I1531">
        <v>200.209</v>
      </c>
    </row>
    <row r="1532" spans="1:9" ht="15" customHeight="1" x14ac:dyDescent="0.15">
      <c r="A1532" s="6"/>
      <c r="D1532" t="s">
        <v>90</v>
      </c>
      <c r="E1532" t="str">
        <f>E1384&amp;".147"</f>
        <v>16.147</v>
      </c>
      <c r="F1532" t="s">
        <v>2748</v>
      </c>
      <c r="G1532" t="s">
        <v>1980</v>
      </c>
      <c r="I1532">
        <v>240.30500000000001</v>
      </c>
    </row>
    <row r="1533" spans="1:9" ht="15" customHeight="1" x14ac:dyDescent="0.15">
      <c r="A1533" s="6"/>
      <c r="D1533" t="s">
        <v>90</v>
      </c>
      <c r="E1533" t="str">
        <f>E1384&amp;".148"</f>
        <v>16.148</v>
      </c>
      <c r="F1533" t="s">
        <v>2749</v>
      </c>
      <c r="G1533" t="s">
        <v>1980</v>
      </c>
      <c r="I1533">
        <v>200</v>
      </c>
    </row>
    <row r="1534" spans="1:9" ht="15" customHeight="1" x14ac:dyDescent="0.15">
      <c r="A1534" s="6"/>
      <c r="D1534" t="s">
        <v>90</v>
      </c>
      <c r="E1534" t="str">
        <f>E1384&amp;".149"</f>
        <v>16.149</v>
      </c>
      <c r="F1534" t="s">
        <v>2750</v>
      </c>
      <c r="G1534" t="s">
        <v>1980</v>
      </c>
      <c r="I1534">
        <v>195</v>
      </c>
    </row>
    <row r="1535" spans="1:9" ht="15" customHeight="1" x14ac:dyDescent="0.15">
      <c r="A1535" s="6"/>
      <c r="D1535" t="s">
        <v>90</v>
      </c>
      <c r="E1535" t="str">
        <f>E1384&amp;".150"</f>
        <v>16.150</v>
      </c>
      <c r="F1535" t="s">
        <v>2751</v>
      </c>
      <c r="G1535" t="s">
        <v>1980</v>
      </c>
      <c r="I1535">
        <v>178.613</v>
      </c>
    </row>
    <row r="1536" spans="1:9" ht="15" customHeight="1" x14ac:dyDescent="0.15">
      <c r="A1536" s="6"/>
      <c r="D1536" t="s">
        <v>90</v>
      </c>
      <c r="E1536" t="str">
        <f>E1384&amp;".151"</f>
        <v>16.151</v>
      </c>
      <c r="F1536" t="s">
        <v>2752</v>
      </c>
      <c r="G1536" t="s">
        <v>1980</v>
      </c>
      <c r="I1536">
        <v>210</v>
      </c>
    </row>
    <row r="1537" spans="1:9" ht="15" customHeight="1" x14ac:dyDescent="0.15">
      <c r="A1537" s="6"/>
      <c r="D1537" t="s">
        <v>90</v>
      </c>
      <c r="E1537" t="str">
        <f>E1384&amp;".152"</f>
        <v>16.152</v>
      </c>
      <c r="F1537" t="s">
        <v>2753</v>
      </c>
      <c r="G1537" t="s">
        <v>1980</v>
      </c>
      <c r="I1537">
        <v>210</v>
      </c>
    </row>
    <row r="1538" spans="1:9" ht="15" customHeight="1" x14ac:dyDescent="0.15">
      <c r="A1538" s="6"/>
      <c r="D1538" t="s">
        <v>90</v>
      </c>
      <c r="E1538" t="str">
        <f>E1384&amp;".153"</f>
        <v>16.153</v>
      </c>
      <c r="F1538" t="s">
        <v>2754</v>
      </c>
      <c r="G1538" t="s">
        <v>1980</v>
      </c>
      <c r="I1538">
        <v>210</v>
      </c>
    </row>
    <row r="1539" spans="1:9" ht="15" customHeight="1" x14ac:dyDescent="0.15">
      <c r="A1539" s="6"/>
      <c r="D1539" t="s">
        <v>90</v>
      </c>
      <c r="E1539" t="str">
        <f>E1384&amp;".154"</f>
        <v>16.154</v>
      </c>
      <c r="F1539" t="s">
        <v>2755</v>
      </c>
      <c r="G1539" t="s">
        <v>1980</v>
      </c>
      <c r="I1539">
        <v>210</v>
      </c>
    </row>
    <row r="1540" spans="1:9" ht="15" customHeight="1" x14ac:dyDescent="0.15">
      <c r="A1540" s="6"/>
      <c r="D1540" t="s">
        <v>90</v>
      </c>
      <c r="E1540" t="str">
        <f>E1384&amp;".155"</f>
        <v>16.155</v>
      </c>
      <c r="F1540" t="s">
        <v>2756</v>
      </c>
      <c r="G1540" t="s">
        <v>1980</v>
      </c>
      <c r="I1540">
        <v>210</v>
      </c>
    </row>
    <row r="1541" spans="1:9" ht="15" customHeight="1" x14ac:dyDescent="0.15">
      <c r="A1541" s="6"/>
      <c r="D1541" t="s">
        <v>90</v>
      </c>
      <c r="E1541" t="str">
        <f>E1384&amp;".156"</f>
        <v>16.156</v>
      </c>
      <c r="F1541" t="s">
        <v>2757</v>
      </c>
      <c r="G1541" t="s">
        <v>1980</v>
      </c>
      <c r="I1541">
        <v>266</v>
      </c>
    </row>
    <row r="1542" spans="1:9" ht="15" customHeight="1" x14ac:dyDescent="0.15">
      <c r="A1542" s="6"/>
      <c r="D1542" t="s">
        <v>90</v>
      </c>
      <c r="E1542" t="str">
        <f>E1384&amp;".157"</f>
        <v>16.157</v>
      </c>
      <c r="F1542" t="s">
        <v>2758</v>
      </c>
      <c r="G1542" t="s">
        <v>1980</v>
      </c>
      <c r="I1542">
        <v>278.05700000000002</v>
      </c>
    </row>
    <row r="1543" spans="1:9" ht="15" customHeight="1" x14ac:dyDescent="0.15">
      <c r="A1543" s="6"/>
      <c r="D1543" t="s">
        <v>90</v>
      </c>
      <c r="E1543" t="str">
        <f>E1384&amp;".158"</f>
        <v>16.158</v>
      </c>
      <c r="F1543" t="s">
        <v>2759</v>
      </c>
      <c r="G1543" t="s">
        <v>1980</v>
      </c>
      <c r="I1543">
        <v>263</v>
      </c>
    </row>
    <row r="1544" spans="1:9" ht="15" customHeight="1" x14ac:dyDescent="0.15">
      <c r="A1544" s="6"/>
      <c r="D1544" t="s">
        <v>90</v>
      </c>
      <c r="E1544" t="str">
        <f>E1384&amp;".159"</f>
        <v>16.159</v>
      </c>
      <c r="F1544" t="s">
        <v>2760</v>
      </c>
      <c r="G1544" t="s">
        <v>1980</v>
      </c>
      <c r="I1544">
        <v>270</v>
      </c>
    </row>
    <row r="1545" spans="1:9" ht="15" customHeight="1" x14ac:dyDescent="0.15">
      <c r="A1545" s="6"/>
      <c r="D1545" t="s">
        <v>90</v>
      </c>
      <c r="E1545" t="str">
        <f>E1384&amp;".160"</f>
        <v>16.160</v>
      </c>
      <c r="F1545" t="s">
        <v>2761</v>
      </c>
      <c r="G1545" t="s">
        <v>1980</v>
      </c>
      <c r="I1545">
        <v>191</v>
      </c>
    </row>
    <row r="1546" spans="1:9" ht="15" customHeight="1" x14ac:dyDescent="0.15">
      <c r="A1546" s="6"/>
      <c r="D1546" t="s">
        <v>90</v>
      </c>
      <c r="E1546" t="str">
        <f>E1384&amp;".161"</f>
        <v>16.161</v>
      </c>
      <c r="F1546" t="s">
        <v>2762</v>
      </c>
      <c r="G1546" t="s">
        <v>1980</v>
      </c>
      <c r="I1546">
        <v>185.98599999999999</v>
      </c>
    </row>
    <row r="1547" spans="1:9" ht="15" customHeight="1" x14ac:dyDescent="0.15">
      <c r="A1547" s="6"/>
      <c r="D1547" t="s">
        <v>90</v>
      </c>
      <c r="E1547" t="str">
        <f>E1384&amp;".162"</f>
        <v>16.162</v>
      </c>
      <c r="F1547" t="s">
        <v>2763</v>
      </c>
      <c r="G1547" t="s">
        <v>1980</v>
      </c>
      <c r="I1547">
        <v>191.982</v>
      </c>
    </row>
    <row r="1548" spans="1:9" ht="15" customHeight="1" x14ac:dyDescent="0.15">
      <c r="A1548" s="6"/>
      <c r="D1548" t="s">
        <v>90</v>
      </c>
      <c r="E1548" t="str">
        <f>E1384&amp;".163"</f>
        <v>16.163</v>
      </c>
      <c r="F1548" t="s">
        <v>2764</v>
      </c>
      <c r="G1548" t="s">
        <v>1980</v>
      </c>
      <c r="I1548">
        <v>198.12799999999999</v>
      </c>
    </row>
    <row r="1549" spans="1:9" ht="15" customHeight="1" x14ac:dyDescent="0.15">
      <c r="A1549" s="6"/>
      <c r="D1549" t="s">
        <v>90</v>
      </c>
      <c r="E1549" t="str">
        <f>E1384&amp;".164"</f>
        <v>16.164</v>
      </c>
      <c r="F1549" t="s">
        <v>2765</v>
      </c>
      <c r="G1549" t="s">
        <v>1980</v>
      </c>
      <c r="I1549">
        <v>254</v>
      </c>
    </row>
    <row r="1550" spans="1:9" ht="15" customHeight="1" x14ac:dyDescent="0.15">
      <c r="A1550" s="6"/>
      <c r="D1550" t="s">
        <v>90</v>
      </c>
      <c r="E1550" t="str">
        <f>E1384&amp;".165"</f>
        <v>16.165</v>
      </c>
      <c r="F1550" t="s">
        <v>2766</v>
      </c>
      <c r="G1550" t="s">
        <v>1980</v>
      </c>
      <c r="I1550">
        <v>260</v>
      </c>
    </row>
    <row r="1551" spans="1:9" ht="15" customHeight="1" x14ac:dyDescent="0.15">
      <c r="A1551" s="6"/>
      <c r="D1551" t="s">
        <v>90</v>
      </c>
      <c r="E1551" t="str">
        <f>E1384&amp;".166"</f>
        <v>16.166</v>
      </c>
      <c r="F1551" t="s">
        <v>2767</v>
      </c>
      <c r="G1551" t="s">
        <v>1980</v>
      </c>
      <c r="I1551">
        <v>210</v>
      </c>
    </row>
    <row r="1552" spans="1:9" ht="15" customHeight="1" x14ac:dyDescent="0.15">
      <c r="A1552" s="6"/>
      <c r="D1552" t="s">
        <v>90</v>
      </c>
      <c r="E1552" t="str">
        <f>E1384&amp;".167"</f>
        <v>16.167</v>
      </c>
      <c r="F1552" t="s">
        <v>2768</v>
      </c>
      <c r="G1552" t="s">
        <v>1980</v>
      </c>
      <c r="I1552">
        <v>185.18</v>
      </c>
    </row>
    <row r="1553" spans="1:9" ht="15" customHeight="1" x14ac:dyDescent="0.15">
      <c r="A1553" s="6"/>
      <c r="D1553" t="s">
        <v>90</v>
      </c>
      <c r="E1553" t="str">
        <f>E1384&amp;".168"</f>
        <v>16.168</v>
      </c>
      <c r="F1553" t="s">
        <v>2769</v>
      </c>
      <c r="G1553" t="s">
        <v>1980</v>
      </c>
      <c r="I1553">
        <v>219.80600000000001</v>
      </c>
    </row>
    <row r="1554" spans="1:9" ht="15" customHeight="1" x14ac:dyDescent="0.15">
      <c r="A1554" s="6"/>
      <c r="D1554" t="s">
        <v>90</v>
      </c>
      <c r="E1554" t="str">
        <f>E1384&amp;".169"</f>
        <v>16.169</v>
      </c>
      <c r="F1554" t="s">
        <v>2770</v>
      </c>
      <c r="G1554" t="s">
        <v>1980</v>
      </c>
      <c r="I1554">
        <v>165</v>
      </c>
    </row>
    <row r="1555" spans="1:9" ht="15" customHeight="1" x14ac:dyDescent="0.15">
      <c r="A1555" s="6"/>
      <c r="D1555" t="s">
        <v>90</v>
      </c>
      <c r="E1555" t="str">
        <f>E1384&amp;".170"</f>
        <v>16.170</v>
      </c>
      <c r="F1555" t="s">
        <v>2771</v>
      </c>
      <c r="G1555" t="s">
        <v>1980</v>
      </c>
      <c r="I1555">
        <v>171.25200000000001</v>
      </c>
    </row>
    <row r="1556" spans="1:9" ht="15" customHeight="1" x14ac:dyDescent="0.15">
      <c r="A1556" s="6"/>
      <c r="D1556" t="s">
        <v>90</v>
      </c>
      <c r="E1556" t="str">
        <f>E1384&amp;".171"</f>
        <v>16.171</v>
      </c>
      <c r="F1556" t="s">
        <v>2772</v>
      </c>
      <c r="G1556" t="s">
        <v>1980</v>
      </c>
      <c r="I1556">
        <v>210</v>
      </c>
    </row>
    <row r="1557" spans="1:9" ht="15" customHeight="1" x14ac:dyDescent="0.15">
      <c r="A1557" s="6"/>
      <c r="D1557" t="s">
        <v>90</v>
      </c>
      <c r="E1557" t="str">
        <f>E1384&amp;".172"</f>
        <v>16.172</v>
      </c>
      <c r="F1557" t="s">
        <v>2773</v>
      </c>
      <c r="G1557" t="s">
        <v>1980</v>
      </c>
      <c r="I1557">
        <v>210</v>
      </c>
    </row>
    <row r="1558" spans="1:9" ht="15" customHeight="1" x14ac:dyDescent="0.15">
      <c r="A1558" s="6"/>
      <c r="D1558" t="s">
        <v>90</v>
      </c>
      <c r="E1558" t="str">
        <f>E1384&amp;".173"</f>
        <v>16.173</v>
      </c>
      <c r="F1558" t="s">
        <v>2774</v>
      </c>
      <c r="G1558" t="s">
        <v>1980</v>
      </c>
    </row>
    <row r="1559" spans="1:9" ht="15" customHeight="1" x14ac:dyDescent="0.15">
      <c r="A1559" s="6"/>
      <c r="D1559" t="s">
        <v>90</v>
      </c>
      <c r="E1559" t="str">
        <f>E1384&amp;".174"</f>
        <v>16.174</v>
      </c>
      <c r="F1559" t="s">
        <v>2775</v>
      </c>
      <c r="G1559" t="s">
        <v>1980</v>
      </c>
      <c r="I1559">
        <v>191.08600000000001</v>
      </c>
    </row>
    <row r="1560" spans="1:9" ht="15" customHeight="1" x14ac:dyDescent="0.15">
      <c r="A1560" s="6"/>
      <c r="D1560" t="s">
        <v>90</v>
      </c>
      <c r="E1560" t="str">
        <f>E1384&amp;".175"</f>
        <v>16.175</v>
      </c>
      <c r="F1560" t="s">
        <v>2776</v>
      </c>
      <c r="G1560" t="s">
        <v>1980</v>
      </c>
      <c r="I1560">
        <v>264.54399999999998</v>
      </c>
    </row>
    <row r="1561" spans="1:9" ht="15" customHeight="1" x14ac:dyDescent="0.15">
      <c r="A1561" s="6"/>
      <c r="D1561" t="s">
        <v>90</v>
      </c>
      <c r="E1561" t="str">
        <f>E1384&amp;".176"</f>
        <v>16.176</v>
      </c>
      <c r="F1561" t="s">
        <v>2777</v>
      </c>
      <c r="G1561" t="s">
        <v>1980</v>
      </c>
      <c r="I1561">
        <v>169.87</v>
      </c>
    </row>
    <row r="1562" spans="1:9" ht="15" customHeight="1" x14ac:dyDescent="0.15">
      <c r="A1562" s="6"/>
      <c r="D1562" t="s">
        <v>90</v>
      </c>
      <c r="E1562" t="str">
        <f>E1384&amp;".177"</f>
        <v>16.177</v>
      </c>
      <c r="F1562" t="s">
        <v>2778</v>
      </c>
      <c r="G1562" t="s">
        <v>1980</v>
      </c>
      <c r="I1562">
        <v>258.80200000000002</v>
      </c>
    </row>
    <row r="1563" spans="1:9" ht="15" customHeight="1" x14ac:dyDescent="0.15">
      <c r="A1563" s="6"/>
      <c r="D1563" t="s">
        <v>90</v>
      </c>
      <c r="E1563" t="str">
        <f>E1384&amp;".178"</f>
        <v>16.178</v>
      </c>
      <c r="F1563" t="s">
        <v>2779</v>
      </c>
      <c r="G1563" t="s">
        <v>1980</v>
      </c>
      <c r="I1563">
        <v>254</v>
      </c>
    </row>
    <row r="1564" spans="1:9" ht="15" customHeight="1" x14ac:dyDescent="0.15">
      <c r="A1564" s="6"/>
      <c r="D1564" t="s">
        <v>90</v>
      </c>
      <c r="E1564" t="str">
        <f>E1384&amp;".179"</f>
        <v>16.179</v>
      </c>
      <c r="F1564" t="s">
        <v>2780</v>
      </c>
      <c r="G1564" t="s">
        <v>1980</v>
      </c>
      <c r="I1564">
        <v>160.01499999999999</v>
      </c>
    </row>
    <row r="1565" spans="1:9" ht="15" customHeight="1" x14ac:dyDescent="0.15">
      <c r="A1565" s="6"/>
      <c r="D1565" t="s">
        <v>90</v>
      </c>
      <c r="E1565" t="str">
        <f>E1384&amp;".180"</f>
        <v>16.180</v>
      </c>
      <c r="F1565" t="s">
        <v>2781</v>
      </c>
      <c r="G1565" t="s">
        <v>1980</v>
      </c>
      <c r="I1565">
        <v>161.91900000000001</v>
      </c>
    </row>
    <row r="1566" spans="1:9" ht="15" customHeight="1" x14ac:dyDescent="0.15">
      <c r="A1566" s="6"/>
      <c r="D1566" t="s">
        <v>90</v>
      </c>
      <c r="E1566" t="str">
        <f>E1384&amp;".181"</f>
        <v>16.181</v>
      </c>
      <c r="F1566" t="s">
        <v>2782</v>
      </c>
      <c r="G1566" t="s">
        <v>1980</v>
      </c>
      <c r="I1566">
        <v>179.06899999999999</v>
      </c>
    </row>
    <row r="1567" spans="1:9" ht="15" customHeight="1" x14ac:dyDescent="0.15">
      <c r="A1567" s="6"/>
      <c r="D1567" t="s">
        <v>90</v>
      </c>
      <c r="E1567" t="str">
        <f>E1384&amp;".182"</f>
        <v>16.182</v>
      </c>
      <c r="F1567" t="s">
        <v>2783</v>
      </c>
      <c r="G1567" t="s">
        <v>1980</v>
      </c>
      <c r="I1567">
        <v>221.10599999999999</v>
      </c>
    </row>
    <row r="1568" spans="1:9" ht="15" customHeight="1" x14ac:dyDescent="0.15">
      <c r="A1568" s="6"/>
      <c r="D1568" t="s">
        <v>90</v>
      </c>
      <c r="E1568" t="str">
        <f>E1384&amp;".183"</f>
        <v>16.183</v>
      </c>
      <c r="F1568" t="s">
        <v>2784</v>
      </c>
      <c r="G1568" t="s">
        <v>1980</v>
      </c>
      <c r="I1568">
        <v>220.488</v>
      </c>
    </row>
    <row r="1569" spans="1:9" ht="15" customHeight="1" x14ac:dyDescent="0.15">
      <c r="A1569" s="6"/>
      <c r="D1569" t="s">
        <v>90</v>
      </c>
      <c r="E1569" t="str">
        <f>E1384&amp;".184"</f>
        <v>16.184</v>
      </c>
      <c r="F1569" t="s">
        <v>2785</v>
      </c>
      <c r="G1569" t="s">
        <v>1980</v>
      </c>
      <c r="I1569">
        <v>220</v>
      </c>
    </row>
    <row r="1570" spans="1:9" ht="15" customHeight="1" x14ac:dyDescent="0.15">
      <c r="A1570" s="6"/>
      <c r="D1570" t="s">
        <v>90</v>
      </c>
      <c r="E1570" t="str">
        <f>E1384&amp;".185"</f>
        <v>16.185</v>
      </c>
      <c r="F1570" t="s">
        <v>2786</v>
      </c>
      <c r="G1570" t="s">
        <v>1980</v>
      </c>
      <c r="I1570">
        <v>221.66</v>
      </c>
    </row>
    <row r="1571" spans="1:9" ht="15" customHeight="1" x14ac:dyDescent="0.15">
      <c r="A1571" s="6"/>
      <c r="D1571" t="s">
        <v>90</v>
      </c>
      <c r="E1571" t="str">
        <f>E1384&amp;".186"</f>
        <v>16.186</v>
      </c>
      <c r="F1571" t="s">
        <v>2787</v>
      </c>
      <c r="G1571" t="s">
        <v>1980</v>
      </c>
      <c r="I1571">
        <v>180.47</v>
      </c>
    </row>
    <row r="1572" spans="1:9" ht="15" customHeight="1" x14ac:dyDescent="0.15">
      <c r="A1572" s="6"/>
      <c r="D1572" t="s">
        <v>90</v>
      </c>
      <c r="E1572" t="str">
        <f>E1384&amp;".187"</f>
        <v>16.187</v>
      </c>
      <c r="F1572" t="s">
        <v>2788</v>
      </c>
      <c r="G1572" t="s">
        <v>1980</v>
      </c>
      <c r="I1572">
        <v>239.22200000000001</v>
      </c>
    </row>
    <row r="1573" spans="1:9" ht="15" customHeight="1" x14ac:dyDescent="0.15">
      <c r="A1573" s="6"/>
      <c r="D1573" t="s">
        <v>90</v>
      </c>
      <c r="E1573" t="str">
        <f>E1384&amp;".188"</f>
        <v>16.188</v>
      </c>
      <c r="F1573" t="s">
        <v>2789</v>
      </c>
      <c r="G1573" t="s">
        <v>1980</v>
      </c>
      <c r="I1573">
        <v>233.952</v>
      </c>
    </row>
    <row r="1574" spans="1:9" ht="15" customHeight="1" x14ac:dyDescent="0.15">
      <c r="A1574" s="6"/>
      <c r="D1574" t="s">
        <v>90</v>
      </c>
      <c r="E1574" t="str">
        <f>E1384&amp;".189"</f>
        <v>16.189</v>
      </c>
      <c r="F1574" t="s">
        <v>2790</v>
      </c>
      <c r="G1574" t="s">
        <v>1980</v>
      </c>
      <c r="I1574">
        <v>224.84299999999999</v>
      </c>
    </row>
    <row r="1575" spans="1:9" ht="15" customHeight="1" x14ac:dyDescent="0.15">
      <c r="A1575" s="6"/>
      <c r="D1575" t="s">
        <v>90</v>
      </c>
      <c r="E1575" t="str">
        <f>E1384&amp;".190"</f>
        <v>16.190</v>
      </c>
      <c r="F1575" t="s">
        <v>2791</v>
      </c>
      <c r="G1575" t="s">
        <v>1980</v>
      </c>
      <c r="I1575">
        <v>211.048</v>
      </c>
    </row>
    <row r="1576" spans="1:9" ht="15" customHeight="1" x14ac:dyDescent="0.15">
      <c r="A1576" s="6"/>
      <c r="D1576" t="s">
        <v>90</v>
      </c>
      <c r="E1576" t="str">
        <f>E1384&amp;".191"</f>
        <v>16.191</v>
      </c>
      <c r="F1576" t="s">
        <v>2792</v>
      </c>
      <c r="G1576" t="s">
        <v>1980</v>
      </c>
      <c r="I1576">
        <v>210</v>
      </c>
    </row>
    <row r="1577" spans="1:9" ht="15" customHeight="1" x14ac:dyDescent="0.15">
      <c r="A1577" s="6"/>
      <c r="D1577" t="s">
        <v>90</v>
      </c>
      <c r="E1577" t="str">
        <f>E1384&amp;".192"</f>
        <v>16.192</v>
      </c>
      <c r="F1577" t="s">
        <v>2793</v>
      </c>
      <c r="G1577" t="s">
        <v>1980</v>
      </c>
      <c r="I1577">
        <v>231.40299999999999</v>
      </c>
    </row>
    <row r="1578" spans="1:9" ht="15" customHeight="1" x14ac:dyDescent="0.15">
      <c r="A1578" s="6"/>
      <c r="D1578" t="s">
        <v>90</v>
      </c>
      <c r="E1578" t="str">
        <f>E1384&amp;".193"</f>
        <v>16.193</v>
      </c>
      <c r="F1578" t="s">
        <v>2794</v>
      </c>
      <c r="G1578" t="s">
        <v>1980</v>
      </c>
      <c r="I1578">
        <v>209.035</v>
      </c>
    </row>
    <row r="1579" spans="1:9" ht="15" customHeight="1" x14ac:dyDescent="0.15">
      <c r="A1579" s="6"/>
      <c r="D1579" t="s">
        <v>90</v>
      </c>
      <c r="E1579" t="str">
        <f>E1384&amp;".194"</f>
        <v>16.194</v>
      </c>
      <c r="F1579" t="s">
        <v>2795</v>
      </c>
      <c r="G1579" t="s">
        <v>1980</v>
      </c>
      <c r="I1579">
        <v>217.399</v>
      </c>
    </row>
    <row r="1580" spans="1:9" ht="15" customHeight="1" x14ac:dyDescent="0.15">
      <c r="A1580" s="6"/>
      <c r="D1580" t="s">
        <v>90</v>
      </c>
      <c r="E1580" t="str">
        <f>E1384&amp;".195"</f>
        <v>16.195</v>
      </c>
      <c r="F1580" t="s">
        <v>2796</v>
      </c>
      <c r="G1580" t="s">
        <v>1980</v>
      </c>
      <c r="I1580">
        <v>265.27199999999999</v>
      </c>
    </row>
    <row r="1581" spans="1:9" ht="15" customHeight="1" x14ac:dyDescent="0.15">
      <c r="A1581" s="6"/>
      <c r="D1581" t="s">
        <v>90</v>
      </c>
      <c r="E1581" t="str">
        <f>E1384&amp;".196"</f>
        <v>16.196</v>
      </c>
      <c r="F1581" t="s">
        <v>2797</v>
      </c>
      <c r="G1581" t="s">
        <v>1980</v>
      </c>
      <c r="I1581">
        <v>226.13200000000001</v>
      </c>
    </row>
    <row r="1582" spans="1:9" ht="15" customHeight="1" x14ac:dyDescent="0.15">
      <c r="A1582" s="6"/>
      <c r="D1582" t="s">
        <v>90</v>
      </c>
      <c r="E1582" t="str">
        <f>E1384&amp;".197"</f>
        <v>16.197</v>
      </c>
      <c r="F1582" t="s">
        <v>2798</v>
      </c>
      <c r="G1582" t="s">
        <v>1980</v>
      </c>
      <c r="I1582">
        <v>220</v>
      </c>
    </row>
    <row r="1583" spans="1:9" ht="15" customHeight="1" x14ac:dyDescent="0.15">
      <c r="A1583" s="6"/>
      <c r="D1583" t="s">
        <v>90</v>
      </c>
      <c r="E1583" t="str">
        <f>E1384&amp;".198"</f>
        <v>16.198</v>
      </c>
      <c r="F1583" t="s">
        <v>2799</v>
      </c>
      <c r="G1583" t="s">
        <v>1980</v>
      </c>
      <c r="I1583">
        <v>223</v>
      </c>
    </row>
    <row r="1584" spans="1:9" ht="15" customHeight="1" x14ac:dyDescent="0.15">
      <c r="A1584" s="6"/>
      <c r="D1584" t="s">
        <v>90</v>
      </c>
      <c r="E1584" t="str">
        <f>E1384&amp;".199"</f>
        <v>16.199</v>
      </c>
      <c r="F1584" t="s">
        <v>2800</v>
      </c>
      <c r="G1584" t="s">
        <v>1980</v>
      </c>
      <c r="I1584">
        <v>210.001</v>
      </c>
    </row>
    <row r="1585" spans="1:9" ht="15" customHeight="1" x14ac:dyDescent="0.15">
      <c r="A1585" s="6"/>
      <c r="D1585" t="s">
        <v>90</v>
      </c>
      <c r="E1585" t="str">
        <f>E1384&amp;".200"</f>
        <v>16.200</v>
      </c>
      <c r="F1585" t="s">
        <v>2801</v>
      </c>
      <c r="G1585" t="s">
        <v>1980</v>
      </c>
      <c r="I1585">
        <v>210.001</v>
      </c>
    </row>
    <row r="1586" spans="1:9" ht="15" customHeight="1" x14ac:dyDescent="0.15">
      <c r="A1586" s="6"/>
      <c r="D1586" t="s">
        <v>90</v>
      </c>
      <c r="E1586" t="str">
        <f>E1384&amp;".201"</f>
        <v>16.201</v>
      </c>
      <c r="F1586" t="s">
        <v>2802</v>
      </c>
      <c r="G1586" t="s">
        <v>1980</v>
      </c>
      <c r="I1586">
        <v>210.001</v>
      </c>
    </row>
    <row r="1587" spans="1:9" ht="15" customHeight="1" x14ac:dyDescent="0.15">
      <c r="A1587" s="6"/>
      <c r="D1587" t="s">
        <v>90</v>
      </c>
      <c r="E1587" t="str">
        <f>E1384&amp;".202"</f>
        <v>16.202</v>
      </c>
      <c r="F1587" t="s">
        <v>2803</v>
      </c>
      <c r="G1587" t="s">
        <v>1980</v>
      </c>
      <c r="I1587">
        <v>209.999</v>
      </c>
    </row>
    <row r="1588" spans="1:9" ht="15" customHeight="1" x14ac:dyDescent="0.15">
      <c r="A1588" s="6"/>
      <c r="D1588" t="s">
        <v>90</v>
      </c>
      <c r="E1588" t="str">
        <f>E1384&amp;".203"</f>
        <v>16.203</v>
      </c>
      <c r="F1588" t="s">
        <v>2804</v>
      </c>
      <c r="G1588" t="s">
        <v>1980</v>
      </c>
      <c r="I1588">
        <v>209.99799999999999</v>
      </c>
    </row>
    <row r="1589" spans="1:9" ht="15" customHeight="1" x14ac:dyDescent="0.15">
      <c r="A1589" s="6"/>
      <c r="D1589" t="s">
        <v>90</v>
      </c>
      <c r="E1589" t="str">
        <f>E1384&amp;".204"</f>
        <v>16.204</v>
      </c>
      <c r="F1589" t="s">
        <v>2805</v>
      </c>
      <c r="G1589" t="s">
        <v>1980</v>
      </c>
      <c r="I1589">
        <v>210</v>
      </c>
    </row>
    <row r="1590" spans="1:9" ht="15" customHeight="1" x14ac:dyDescent="0.15">
      <c r="A1590" s="6"/>
      <c r="D1590" t="s">
        <v>90</v>
      </c>
      <c r="E1590" t="str">
        <f>E1384&amp;".205"</f>
        <v>16.205</v>
      </c>
      <c r="F1590" t="s">
        <v>2806</v>
      </c>
      <c r="G1590" t="s">
        <v>1980</v>
      </c>
      <c r="I1590">
        <v>210</v>
      </c>
    </row>
    <row r="1591" spans="1:9" ht="15" customHeight="1" x14ac:dyDescent="0.15">
      <c r="A1591" s="6"/>
      <c r="D1591" t="s">
        <v>90</v>
      </c>
      <c r="E1591" t="str">
        <f>E1384&amp;".206"</f>
        <v>16.206</v>
      </c>
      <c r="F1591" t="s">
        <v>2807</v>
      </c>
      <c r="G1591" t="s">
        <v>1980</v>
      </c>
      <c r="I1591">
        <v>167.99700000000001</v>
      </c>
    </row>
    <row r="1592" spans="1:9" ht="15" customHeight="1" x14ac:dyDescent="0.15">
      <c r="A1592" s="6"/>
      <c r="D1592" t="s">
        <v>90</v>
      </c>
      <c r="E1592" t="str">
        <f>E1384&amp;".207"</f>
        <v>16.207</v>
      </c>
      <c r="F1592" t="s">
        <v>2808</v>
      </c>
      <c r="G1592" t="s">
        <v>1980</v>
      </c>
      <c r="I1592">
        <v>180.22300000000001</v>
      </c>
    </row>
    <row r="1593" spans="1:9" ht="15" customHeight="1" x14ac:dyDescent="0.15">
      <c r="A1593" s="6"/>
      <c r="D1593" t="s">
        <v>90</v>
      </c>
      <c r="E1593" t="str">
        <f>E1384&amp;".208"</f>
        <v>16.208</v>
      </c>
      <c r="F1593" t="s">
        <v>2809</v>
      </c>
      <c r="G1593" t="s">
        <v>1980</v>
      </c>
      <c r="I1593">
        <v>167.697</v>
      </c>
    </row>
    <row r="1594" spans="1:9" ht="15" customHeight="1" x14ac:dyDescent="0.15">
      <c r="A1594" s="6"/>
      <c r="D1594" t="s">
        <v>90</v>
      </c>
      <c r="E1594" t="str">
        <f>E1384&amp;".209"</f>
        <v>16.209</v>
      </c>
      <c r="F1594" t="s">
        <v>2810</v>
      </c>
      <c r="G1594" t="s">
        <v>1980</v>
      </c>
      <c r="I1594">
        <v>239</v>
      </c>
    </row>
    <row r="1595" spans="1:9" ht="15" customHeight="1" x14ac:dyDescent="0.15">
      <c r="A1595" s="6"/>
      <c r="D1595" t="s">
        <v>90</v>
      </c>
      <c r="E1595" t="str">
        <f>E1384&amp;".210"</f>
        <v>16.210</v>
      </c>
      <c r="F1595" t="s">
        <v>2811</v>
      </c>
      <c r="G1595" t="s">
        <v>1980</v>
      </c>
      <c r="I1595">
        <v>240</v>
      </c>
    </row>
    <row r="1596" spans="1:9" ht="15" customHeight="1" x14ac:dyDescent="0.15">
      <c r="A1596" s="6"/>
      <c r="D1596" t="s">
        <v>90</v>
      </c>
      <c r="E1596" t="str">
        <f>E1384&amp;".211"</f>
        <v>16.211</v>
      </c>
      <c r="F1596" t="s">
        <v>2812</v>
      </c>
      <c r="G1596" t="s">
        <v>1980</v>
      </c>
      <c r="I1596">
        <v>240</v>
      </c>
    </row>
    <row r="1597" spans="1:9" ht="15" customHeight="1" x14ac:dyDescent="0.15">
      <c r="A1597" s="6"/>
      <c r="D1597" t="s">
        <v>90</v>
      </c>
      <c r="E1597" t="str">
        <f>E1384&amp;".212"</f>
        <v>16.212</v>
      </c>
      <c r="F1597" t="s">
        <v>2813</v>
      </c>
      <c r="G1597" t="s">
        <v>1980</v>
      </c>
      <c r="I1597">
        <v>247</v>
      </c>
    </row>
    <row r="1598" spans="1:9" ht="15" customHeight="1" x14ac:dyDescent="0.15">
      <c r="A1598" s="6"/>
      <c r="D1598" t="s">
        <v>90</v>
      </c>
      <c r="E1598" t="str">
        <f>E1384&amp;".213"</f>
        <v>16.213</v>
      </c>
      <c r="F1598" t="s">
        <v>2814</v>
      </c>
      <c r="G1598" t="s">
        <v>1980</v>
      </c>
      <c r="I1598">
        <v>282.60000000000002</v>
      </c>
    </row>
    <row r="1599" spans="1:9" ht="15" customHeight="1" x14ac:dyDescent="0.15">
      <c r="A1599" s="6"/>
      <c r="D1599" t="s">
        <v>90</v>
      </c>
      <c r="E1599" t="str">
        <f>E1384&amp;".214"</f>
        <v>16.214</v>
      </c>
      <c r="F1599" t="s">
        <v>2815</v>
      </c>
      <c r="G1599" t="s">
        <v>1980</v>
      </c>
      <c r="I1599">
        <v>239</v>
      </c>
    </row>
    <row r="1600" spans="1:9" ht="15" customHeight="1" x14ac:dyDescent="0.15">
      <c r="A1600" s="6"/>
      <c r="D1600" t="s">
        <v>90</v>
      </c>
      <c r="E1600" t="str">
        <f>E1384&amp;".215"</f>
        <v>16.215</v>
      </c>
      <c r="F1600" t="s">
        <v>2816</v>
      </c>
      <c r="G1600" t="s">
        <v>1980</v>
      </c>
      <c r="I1600">
        <v>171.77</v>
      </c>
    </row>
    <row r="1601" spans="1:9" ht="15" customHeight="1" x14ac:dyDescent="0.15">
      <c r="A1601" s="6"/>
      <c r="D1601" t="s">
        <v>90</v>
      </c>
      <c r="E1601" t="str">
        <f>E1384&amp;".216"</f>
        <v>16.216</v>
      </c>
      <c r="F1601" t="s">
        <v>2817</v>
      </c>
      <c r="G1601" t="s">
        <v>1980</v>
      </c>
      <c r="I1601">
        <v>210</v>
      </c>
    </row>
    <row r="1602" spans="1:9" ht="15" customHeight="1" x14ac:dyDescent="0.15">
      <c r="A1602" s="6"/>
      <c r="D1602" t="s">
        <v>90</v>
      </c>
      <c r="E1602" t="str">
        <f>E1384&amp;".217"</f>
        <v>16.217</v>
      </c>
      <c r="F1602" t="s">
        <v>2818</v>
      </c>
      <c r="G1602" t="s">
        <v>1980</v>
      </c>
      <c r="I1602">
        <v>181.08600000000001</v>
      </c>
    </row>
    <row r="1603" spans="1:9" ht="15" customHeight="1" x14ac:dyDescent="0.15">
      <c r="A1603" s="6"/>
      <c r="D1603" t="s">
        <v>90</v>
      </c>
      <c r="E1603" t="str">
        <f>E1384&amp;".218"</f>
        <v>16.218</v>
      </c>
      <c r="F1603" t="s">
        <v>2819</v>
      </c>
      <c r="G1603" t="s">
        <v>1980</v>
      </c>
      <c r="I1603">
        <v>210</v>
      </c>
    </row>
    <row r="1604" spans="1:9" ht="15" customHeight="1" x14ac:dyDescent="0.15">
      <c r="A1604" s="6"/>
      <c r="D1604" t="s">
        <v>90</v>
      </c>
      <c r="E1604" t="str">
        <f>E1384&amp;".219"</f>
        <v>16.219</v>
      </c>
      <c r="F1604" t="s">
        <v>2820</v>
      </c>
      <c r="G1604" t="s">
        <v>1980</v>
      </c>
      <c r="I1604">
        <v>179.839</v>
      </c>
    </row>
    <row r="1605" spans="1:9" ht="15" customHeight="1" x14ac:dyDescent="0.15">
      <c r="A1605" s="6"/>
      <c r="D1605" t="s">
        <v>90</v>
      </c>
      <c r="E1605" t="str">
        <f>E1384&amp;".220"</f>
        <v>16.220</v>
      </c>
      <c r="F1605" t="s">
        <v>2821</v>
      </c>
      <c r="G1605" t="s">
        <v>1980</v>
      </c>
      <c r="I1605">
        <v>190.202</v>
      </c>
    </row>
    <row r="1606" spans="1:9" ht="15" customHeight="1" x14ac:dyDescent="0.15">
      <c r="A1606" s="6"/>
      <c r="D1606" t="s">
        <v>90</v>
      </c>
      <c r="E1606" t="str">
        <f>E1384&amp;".221"</f>
        <v>16.221</v>
      </c>
      <c r="F1606" t="s">
        <v>2822</v>
      </c>
      <c r="G1606" t="s">
        <v>1980</v>
      </c>
      <c r="I1606">
        <v>186.90600000000001</v>
      </c>
    </row>
    <row r="1607" spans="1:9" ht="15" customHeight="1" x14ac:dyDescent="0.15">
      <c r="A1607" s="6"/>
      <c r="D1607" t="s">
        <v>90</v>
      </c>
      <c r="E1607" t="str">
        <f>E1384&amp;".222"</f>
        <v>16.222</v>
      </c>
      <c r="F1607" t="s">
        <v>2823</v>
      </c>
      <c r="G1607" t="s">
        <v>1980</v>
      </c>
      <c r="I1607">
        <v>180.29499999999999</v>
      </c>
    </row>
    <row r="1608" spans="1:9" ht="15" customHeight="1" x14ac:dyDescent="0.15">
      <c r="A1608" s="6"/>
      <c r="D1608" t="s">
        <v>90</v>
      </c>
      <c r="E1608" t="str">
        <f>E1384&amp;".223"</f>
        <v>16.223</v>
      </c>
      <c r="F1608" t="s">
        <v>2824</v>
      </c>
      <c r="G1608" t="s">
        <v>1980</v>
      </c>
      <c r="I1608">
        <v>169.23400000000001</v>
      </c>
    </row>
    <row r="1609" spans="1:9" ht="15" customHeight="1" x14ac:dyDescent="0.15">
      <c r="A1609" s="6"/>
      <c r="D1609" t="s">
        <v>90</v>
      </c>
      <c r="E1609" t="str">
        <f>E1384&amp;".224"</f>
        <v>16.224</v>
      </c>
      <c r="F1609" t="s">
        <v>2138</v>
      </c>
      <c r="G1609" t="s">
        <v>1980</v>
      </c>
      <c r="I1609">
        <v>180.76900000000001</v>
      </c>
    </row>
    <row r="1610" spans="1:9" ht="15" customHeight="1" x14ac:dyDescent="0.15">
      <c r="A1610" s="6"/>
      <c r="D1610" t="s">
        <v>90</v>
      </c>
      <c r="E1610" t="str">
        <f>E1384&amp;".225"</f>
        <v>16.225</v>
      </c>
      <c r="F1610" t="s">
        <v>2825</v>
      </c>
      <c r="G1610" t="s">
        <v>1980</v>
      </c>
      <c r="I1610">
        <v>209.99600000000001</v>
      </c>
    </row>
    <row r="1611" spans="1:9" ht="15" customHeight="1" x14ac:dyDescent="0.15">
      <c r="A1611" s="6"/>
      <c r="D1611" t="s">
        <v>90</v>
      </c>
      <c r="E1611" t="str">
        <f>E1384&amp;".226"</f>
        <v>16.226</v>
      </c>
      <c r="F1611" t="s">
        <v>2826</v>
      </c>
      <c r="G1611" t="s">
        <v>1980</v>
      </c>
      <c r="I1611">
        <v>209.99199999999999</v>
      </c>
    </row>
    <row r="1612" spans="1:9" ht="15" customHeight="1" x14ac:dyDescent="0.15">
      <c r="A1612" s="6"/>
      <c r="D1612" t="s">
        <v>90</v>
      </c>
      <c r="E1612" t="str">
        <f>E1384&amp;".227"</f>
        <v>16.227</v>
      </c>
      <c r="F1612" t="s">
        <v>2827</v>
      </c>
      <c r="G1612" t="s">
        <v>1980</v>
      </c>
      <c r="I1612">
        <v>209.999</v>
      </c>
    </row>
    <row r="1613" spans="1:9" ht="15" customHeight="1" x14ac:dyDescent="0.15">
      <c r="A1613" s="6"/>
      <c r="D1613" t="s">
        <v>90</v>
      </c>
      <c r="E1613" t="str">
        <f>E1384&amp;".228"</f>
        <v>16.228</v>
      </c>
      <c r="F1613" t="s">
        <v>2828</v>
      </c>
      <c r="G1613" t="s">
        <v>1980</v>
      </c>
      <c r="I1613">
        <v>209.989</v>
      </c>
    </row>
    <row r="1614" spans="1:9" ht="15" customHeight="1" x14ac:dyDescent="0.15">
      <c r="A1614" s="6"/>
      <c r="D1614" t="s">
        <v>90</v>
      </c>
      <c r="E1614" t="str">
        <f>E1384&amp;".229"</f>
        <v>16.229</v>
      </c>
      <c r="F1614" t="s">
        <v>2829</v>
      </c>
      <c r="G1614" t="s">
        <v>1980</v>
      </c>
      <c r="I1614">
        <v>210.001</v>
      </c>
    </row>
    <row r="1615" spans="1:9" ht="15" customHeight="1" x14ac:dyDescent="0.15">
      <c r="A1615" s="6"/>
      <c r="D1615" t="s">
        <v>90</v>
      </c>
      <c r="E1615" t="str">
        <f>E1384&amp;".230"</f>
        <v>16.230</v>
      </c>
      <c r="F1615" t="s">
        <v>2830</v>
      </c>
      <c r="G1615" t="s">
        <v>1980</v>
      </c>
      <c r="I1615">
        <v>210.00899999999999</v>
      </c>
    </row>
    <row r="1616" spans="1:9" ht="15" customHeight="1" x14ac:dyDescent="0.15">
      <c r="A1616" s="6"/>
      <c r="D1616" t="s">
        <v>90</v>
      </c>
      <c r="E1616" t="str">
        <f>E1384&amp;".231"</f>
        <v>16.231</v>
      </c>
      <c r="F1616" t="s">
        <v>2831</v>
      </c>
      <c r="G1616" t="s">
        <v>1980</v>
      </c>
      <c r="I1616">
        <v>209.99600000000001</v>
      </c>
    </row>
    <row r="1617" spans="1:9" ht="15" customHeight="1" x14ac:dyDescent="0.15">
      <c r="A1617" s="6"/>
      <c r="D1617" t="s">
        <v>90</v>
      </c>
      <c r="E1617" t="str">
        <f>E1384&amp;".232"</f>
        <v>16.232</v>
      </c>
      <c r="F1617" t="s">
        <v>2832</v>
      </c>
      <c r="G1617" t="s">
        <v>1980</v>
      </c>
      <c r="I1617">
        <v>209.99600000000001</v>
      </c>
    </row>
    <row r="1618" spans="1:9" ht="15" customHeight="1" x14ac:dyDescent="0.15">
      <c r="A1618" s="6"/>
      <c r="D1618" t="s">
        <v>90</v>
      </c>
      <c r="E1618" t="str">
        <f>E1384&amp;".233"</f>
        <v>16.233</v>
      </c>
      <c r="F1618" t="s">
        <v>2833</v>
      </c>
      <c r="G1618" t="s">
        <v>1980</v>
      </c>
      <c r="I1618">
        <v>265.63499999999999</v>
      </c>
    </row>
    <row r="1619" spans="1:9" ht="15" customHeight="1" x14ac:dyDescent="0.15">
      <c r="A1619" s="6"/>
      <c r="D1619" t="s">
        <v>90</v>
      </c>
      <c r="E1619" t="str">
        <f>E1384&amp;".234"</f>
        <v>16.234</v>
      </c>
      <c r="F1619" t="s">
        <v>2144</v>
      </c>
      <c r="G1619" t="s">
        <v>1980</v>
      </c>
      <c r="I1619">
        <v>245.18899999999999</v>
      </c>
    </row>
    <row r="1620" spans="1:9" ht="15" customHeight="1" x14ac:dyDescent="0.15">
      <c r="A1620" s="6"/>
      <c r="D1620" t="s">
        <v>90</v>
      </c>
      <c r="E1620" t="str">
        <f>E1384&amp;".235"</f>
        <v>16.235</v>
      </c>
      <c r="F1620" t="s">
        <v>2834</v>
      </c>
      <c r="G1620" t="s">
        <v>1980</v>
      </c>
      <c r="I1620">
        <v>179.976</v>
      </c>
    </row>
    <row r="1621" spans="1:9" ht="15" customHeight="1" x14ac:dyDescent="0.15">
      <c r="A1621" s="6"/>
      <c r="D1621" t="s">
        <v>90</v>
      </c>
      <c r="E1621" t="str">
        <f>E1384&amp;".236"</f>
        <v>16.236</v>
      </c>
      <c r="F1621" t="s">
        <v>2835</v>
      </c>
      <c r="G1621" t="s">
        <v>1980</v>
      </c>
      <c r="I1621">
        <v>238.79400000000001</v>
      </c>
    </row>
    <row r="1622" spans="1:9" ht="15" customHeight="1" x14ac:dyDescent="0.15">
      <c r="A1622" s="6"/>
      <c r="D1622" t="s">
        <v>90</v>
      </c>
      <c r="E1622" t="str">
        <f>E1384&amp;".237"</f>
        <v>16.237</v>
      </c>
      <c r="F1622" t="s">
        <v>2836</v>
      </c>
      <c r="G1622" t="s">
        <v>1980</v>
      </c>
      <c r="I1622">
        <v>168.17699999999999</v>
      </c>
    </row>
    <row r="1623" spans="1:9" ht="15" customHeight="1" x14ac:dyDescent="0.15">
      <c r="A1623" s="6"/>
      <c r="D1623" t="s">
        <v>90</v>
      </c>
      <c r="E1623" t="str">
        <f>E1384&amp;".238"</f>
        <v>16.238</v>
      </c>
      <c r="F1623" t="s">
        <v>2142</v>
      </c>
      <c r="G1623" t="s">
        <v>1980</v>
      </c>
      <c r="I1623">
        <v>188.58799999999999</v>
      </c>
    </row>
    <row r="1624" spans="1:9" ht="15" customHeight="1" x14ac:dyDescent="0.15">
      <c r="A1624" s="6"/>
      <c r="D1624" t="s">
        <v>90</v>
      </c>
      <c r="E1624" t="str">
        <f>E1384&amp;".239"</f>
        <v>16.239</v>
      </c>
      <c r="F1624" t="s">
        <v>2837</v>
      </c>
      <c r="G1624" t="s">
        <v>1980</v>
      </c>
      <c r="I1624">
        <v>206.887</v>
      </c>
    </row>
    <row r="1625" spans="1:9" ht="15" customHeight="1" x14ac:dyDescent="0.15">
      <c r="A1625" s="6"/>
      <c r="D1625" t="s">
        <v>90</v>
      </c>
      <c r="E1625" t="str">
        <f>E1384&amp;".240"</f>
        <v>16.240</v>
      </c>
      <c r="F1625" t="s">
        <v>2838</v>
      </c>
      <c r="G1625" t="s">
        <v>1980</v>
      </c>
      <c r="I1625">
        <v>240</v>
      </c>
    </row>
    <row r="1626" spans="1:9" ht="15" customHeight="1" x14ac:dyDescent="0.15">
      <c r="A1626" s="6"/>
      <c r="D1626" t="s">
        <v>90</v>
      </c>
      <c r="E1626" t="str">
        <f>E1384&amp;".241"</f>
        <v>16.241</v>
      </c>
      <c r="F1626" t="s">
        <v>2839</v>
      </c>
      <c r="G1626" t="s">
        <v>1980</v>
      </c>
      <c r="I1626">
        <v>229.999</v>
      </c>
    </row>
    <row r="1627" spans="1:9" ht="15" customHeight="1" x14ac:dyDescent="0.15">
      <c r="A1627" s="6"/>
      <c r="D1627" t="s">
        <v>90</v>
      </c>
      <c r="E1627" t="str">
        <f>E1384&amp;".242"</f>
        <v>16.242</v>
      </c>
      <c r="F1627" t="s">
        <v>2840</v>
      </c>
      <c r="G1627" t="s">
        <v>1980</v>
      </c>
      <c r="I1627">
        <v>237.995</v>
      </c>
    </row>
    <row r="1628" spans="1:9" ht="15" customHeight="1" x14ac:dyDescent="0.15">
      <c r="A1628" s="6"/>
      <c r="D1628" t="s">
        <v>90</v>
      </c>
      <c r="E1628" t="str">
        <f>E1384&amp;".243"</f>
        <v>16.243</v>
      </c>
      <c r="F1628" t="s">
        <v>2841</v>
      </c>
      <c r="G1628" t="s">
        <v>1980</v>
      </c>
      <c r="I1628">
        <v>283.37400000000002</v>
      </c>
    </row>
    <row r="1629" spans="1:9" ht="15" customHeight="1" x14ac:dyDescent="0.15">
      <c r="A1629" s="6"/>
      <c r="D1629" t="s">
        <v>90</v>
      </c>
      <c r="E1629" t="str">
        <f>E1384&amp;".244"</f>
        <v>16.244</v>
      </c>
      <c r="F1629" t="s">
        <v>2842</v>
      </c>
      <c r="G1629" t="s">
        <v>1980</v>
      </c>
      <c r="I1629">
        <v>216</v>
      </c>
    </row>
    <row r="1630" spans="1:9" ht="15" customHeight="1" x14ac:dyDescent="0.15">
      <c r="A1630" s="6"/>
      <c r="D1630" t="s">
        <v>90</v>
      </c>
      <c r="E1630" t="str">
        <f>E1384&amp;".245"</f>
        <v>16.245</v>
      </c>
      <c r="F1630" t="s">
        <v>2843</v>
      </c>
      <c r="G1630" t="s">
        <v>1980</v>
      </c>
      <c r="I1630">
        <v>162.80099999999999</v>
      </c>
    </row>
    <row r="1631" spans="1:9" ht="15" customHeight="1" x14ac:dyDescent="0.15">
      <c r="A1631" s="6"/>
      <c r="D1631" t="s">
        <v>90</v>
      </c>
      <c r="E1631" t="str">
        <f>E1384&amp;".246"</f>
        <v>16.246</v>
      </c>
      <c r="F1631" t="s">
        <v>2844</v>
      </c>
      <c r="G1631" t="s">
        <v>1980</v>
      </c>
      <c r="I1631">
        <v>280.42599999999999</v>
      </c>
    </row>
    <row r="1632" spans="1:9" ht="15" customHeight="1" x14ac:dyDescent="0.15">
      <c r="A1632" s="6"/>
      <c r="D1632" t="s">
        <v>90</v>
      </c>
      <c r="E1632" t="str">
        <f>E1384&amp;".247"</f>
        <v>16.247</v>
      </c>
      <c r="F1632" t="s">
        <v>2845</v>
      </c>
      <c r="G1632" t="s">
        <v>1980</v>
      </c>
      <c r="I1632">
        <v>210</v>
      </c>
    </row>
    <row r="1633" spans="1:9" ht="15" customHeight="1" x14ac:dyDescent="0.15">
      <c r="A1633" s="6"/>
      <c r="D1633" t="s">
        <v>90</v>
      </c>
      <c r="E1633" t="str">
        <f>E1384&amp;".248"</f>
        <v>16.248</v>
      </c>
      <c r="F1633" t="s">
        <v>2846</v>
      </c>
      <c r="G1633" t="s">
        <v>1980</v>
      </c>
      <c r="I1633">
        <v>210</v>
      </c>
    </row>
    <row r="1634" spans="1:9" ht="15" customHeight="1" x14ac:dyDescent="0.15">
      <c r="A1634" s="6"/>
      <c r="D1634" t="s">
        <v>90</v>
      </c>
      <c r="E1634" t="str">
        <f>E1384&amp;".249"</f>
        <v>16.249</v>
      </c>
      <c r="F1634" t="s">
        <v>2847</v>
      </c>
      <c r="G1634" t="s">
        <v>1980</v>
      </c>
      <c r="I1634">
        <v>210</v>
      </c>
    </row>
    <row r="1635" spans="1:9" ht="15" customHeight="1" x14ac:dyDescent="0.15">
      <c r="A1635" s="6"/>
      <c r="D1635" t="s">
        <v>90</v>
      </c>
      <c r="E1635" t="str">
        <f>E1384&amp;".250"</f>
        <v>16.250</v>
      </c>
      <c r="F1635" t="s">
        <v>2848</v>
      </c>
      <c r="G1635" t="s">
        <v>1980</v>
      </c>
      <c r="I1635">
        <v>210</v>
      </c>
    </row>
    <row r="1636" spans="1:9" ht="15" customHeight="1" x14ac:dyDescent="0.15">
      <c r="A1636" s="6"/>
      <c r="D1636" t="s">
        <v>90</v>
      </c>
      <c r="E1636" t="str">
        <f>E1384&amp;".251"</f>
        <v>16.251</v>
      </c>
      <c r="F1636" t="s">
        <v>2849</v>
      </c>
      <c r="G1636" t="s">
        <v>1980</v>
      </c>
      <c r="I1636">
        <v>210</v>
      </c>
    </row>
    <row r="1637" spans="1:9" ht="15" customHeight="1" x14ac:dyDescent="0.15">
      <c r="A1637" s="6"/>
      <c r="D1637" t="s">
        <v>90</v>
      </c>
      <c r="E1637" t="str">
        <f>E1384&amp;".252"</f>
        <v>16.252</v>
      </c>
      <c r="F1637" t="s">
        <v>2850</v>
      </c>
      <c r="G1637" t="s">
        <v>1980</v>
      </c>
      <c r="I1637">
        <v>210</v>
      </c>
    </row>
    <row r="1638" spans="1:9" ht="15" customHeight="1" x14ac:dyDescent="0.15">
      <c r="A1638" s="6"/>
      <c r="D1638" t="s">
        <v>90</v>
      </c>
      <c r="E1638" t="str">
        <f>E1384&amp;".253"</f>
        <v>16.253</v>
      </c>
      <c r="F1638" t="s">
        <v>2851</v>
      </c>
      <c r="G1638" t="s">
        <v>1980</v>
      </c>
      <c r="I1638">
        <v>210</v>
      </c>
    </row>
    <row r="1639" spans="1:9" ht="15" customHeight="1" x14ac:dyDescent="0.15">
      <c r="A1639" s="6"/>
      <c r="D1639" t="s">
        <v>90</v>
      </c>
      <c r="E1639" t="str">
        <f>E1384&amp;".254"</f>
        <v>16.254</v>
      </c>
      <c r="F1639" t="s">
        <v>2852</v>
      </c>
      <c r="G1639" t="s">
        <v>1980</v>
      </c>
      <c r="I1639">
        <v>210</v>
      </c>
    </row>
    <row r="1640" spans="1:9" ht="15" customHeight="1" x14ac:dyDescent="0.15">
      <c r="A1640" s="6"/>
      <c r="D1640" t="s">
        <v>90</v>
      </c>
      <c r="E1640" t="str">
        <f>E1384&amp;".255"</f>
        <v>16.255</v>
      </c>
      <c r="F1640" t="s">
        <v>2853</v>
      </c>
      <c r="G1640" t="s">
        <v>1980</v>
      </c>
      <c r="I1640">
        <v>210</v>
      </c>
    </row>
    <row r="1641" spans="1:9" ht="15" customHeight="1" x14ac:dyDescent="0.15">
      <c r="A1641" s="6"/>
      <c r="D1641" t="s">
        <v>90</v>
      </c>
      <c r="E1641" t="str">
        <f>E1384&amp;".256"</f>
        <v>16.256</v>
      </c>
      <c r="F1641" t="s">
        <v>2854</v>
      </c>
      <c r="G1641" t="s">
        <v>1980</v>
      </c>
      <c r="I1641">
        <v>210</v>
      </c>
    </row>
    <row r="1642" spans="1:9" ht="15" customHeight="1" x14ac:dyDescent="0.15">
      <c r="A1642" s="6"/>
      <c r="D1642" t="s">
        <v>90</v>
      </c>
      <c r="E1642" t="str">
        <f>E1384&amp;".257"</f>
        <v>16.257</v>
      </c>
      <c r="F1642" t="s">
        <v>2855</v>
      </c>
      <c r="G1642" t="s">
        <v>1980</v>
      </c>
      <c r="I1642">
        <v>210</v>
      </c>
    </row>
    <row r="1643" spans="1:9" ht="15" customHeight="1" x14ac:dyDescent="0.15">
      <c r="A1643" s="6"/>
      <c r="D1643" t="s">
        <v>90</v>
      </c>
      <c r="E1643" t="str">
        <f>E1384&amp;".258"</f>
        <v>16.258</v>
      </c>
      <c r="F1643" t="s">
        <v>2856</v>
      </c>
      <c r="G1643" t="s">
        <v>1980</v>
      </c>
      <c r="I1643">
        <v>210</v>
      </c>
    </row>
    <row r="1644" spans="1:9" ht="15" customHeight="1" x14ac:dyDescent="0.15">
      <c r="A1644" s="6"/>
      <c r="D1644" t="s">
        <v>90</v>
      </c>
      <c r="E1644" t="str">
        <f>E1384&amp;".259"</f>
        <v>16.259</v>
      </c>
      <c r="F1644" t="s">
        <v>2857</v>
      </c>
      <c r="G1644" t="s">
        <v>1980</v>
      </c>
      <c r="I1644">
        <v>210</v>
      </c>
    </row>
    <row r="1645" spans="1:9" ht="15" customHeight="1" x14ac:dyDescent="0.15">
      <c r="A1645" s="6"/>
      <c r="D1645" t="s">
        <v>90</v>
      </c>
      <c r="E1645" t="str">
        <f>E1384&amp;".260"</f>
        <v>16.260</v>
      </c>
      <c r="F1645" t="s">
        <v>2858</v>
      </c>
      <c r="G1645" t="s">
        <v>1980</v>
      </c>
      <c r="I1645">
        <v>210</v>
      </c>
    </row>
    <row r="1646" spans="1:9" ht="15" customHeight="1" x14ac:dyDescent="0.15">
      <c r="A1646" s="6"/>
      <c r="D1646" t="s">
        <v>90</v>
      </c>
      <c r="E1646" t="str">
        <f>E1384&amp;".261"</f>
        <v>16.261</v>
      </c>
      <c r="F1646" t="s">
        <v>2859</v>
      </c>
      <c r="G1646" t="s">
        <v>1980</v>
      </c>
      <c r="I1646">
        <v>210</v>
      </c>
    </row>
    <row r="1647" spans="1:9" ht="15" customHeight="1" x14ac:dyDescent="0.15">
      <c r="A1647" s="6"/>
      <c r="D1647" t="s">
        <v>90</v>
      </c>
      <c r="E1647" t="str">
        <f>E1384&amp;".262"</f>
        <v>16.262</v>
      </c>
      <c r="F1647" t="s">
        <v>2860</v>
      </c>
      <c r="G1647" t="s">
        <v>1980</v>
      </c>
      <c r="I1647">
        <v>210</v>
      </c>
    </row>
    <row r="1648" spans="1:9" ht="15" customHeight="1" x14ac:dyDescent="0.15">
      <c r="A1648" s="6"/>
      <c r="D1648" t="s">
        <v>90</v>
      </c>
      <c r="E1648" t="str">
        <f>E1384&amp;".263"</f>
        <v>16.263</v>
      </c>
      <c r="F1648" t="s">
        <v>2861</v>
      </c>
      <c r="G1648" t="s">
        <v>1980</v>
      </c>
      <c r="I1648">
        <v>210</v>
      </c>
    </row>
    <row r="1649" spans="1:9" ht="15" customHeight="1" x14ac:dyDescent="0.15">
      <c r="A1649" s="6"/>
      <c r="D1649" t="s">
        <v>90</v>
      </c>
      <c r="E1649" t="str">
        <f>E1384&amp;".264"</f>
        <v>16.264</v>
      </c>
      <c r="F1649" t="s">
        <v>2862</v>
      </c>
      <c r="G1649" t="s">
        <v>1980</v>
      </c>
      <c r="I1649">
        <v>178</v>
      </c>
    </row>
    <row r="1650" spans="1:9" ht="15" customHeight="1" x14ac:dyDescent="0.15">
      <c r="A1650" s="6"/>
      <c r="D1650" t="s">
        <v>90</v>
      </c>
      <c r="E1650" t="str">
        <f>E1384&amp;".265"</f>
        <v>16.265</v>
      </c>
      <c r="F1650" t="s">
        <v>2863</v>
      </c>
      <c r="G1650" t="s">
        <v>1980</v>
      </c>
      <c r="I1650">
        <v>255</v>
      </c>
    </row>
    <row r="1651" spans="1:9" ht="15" customHeight="1" x14ac:dyDescent="0.15">
      <c r="A1651" s="6"/>
      <c r="D1651" t="s">
        <v>90</v>
      </c>
      <c r="E1651" t="str">
        <f>E1384&amp;".266"</f>
        <v>16.266</v>
      </c>
      <c r="F1651" t="s">
        <v>2864</v>
      </c>
      <c r="G1651" t="s">
        <v>1980</v>
      </c>
      <c r="I1651">
        <v>192.9</v>
      </c>
    </row>
    <row r="1652" spans="1:9" ht="15" customHeight="1" x14ac:dyDescent="0.15">
      <c r="A1652" s="6"/>
      <c r="D1652" t="s">
        <v>90</v>
      </c>
      <c r="E1652" t="str">
        <f>E1384&amp;".267"</f>
        <v>16.267</v>
      </c>
      <c r="F1652" t="s">
        <v>2865</v>
      </c>
      <c r="G1652" t="s">
        <v>1980</v>
      </c>
      <c r="I1652">
        <v>206.36600000000001</v>
      </c>
    </row>
    <row r="1653" spans="1:9" ht="15" customHeight="1" x14ac:dyDescent="0.15">
      <c r="A1653" s="6"/>
      <c r="D1653" t="s">
        <v>90</v>
      </c>
      <c r="E1653" t="str">
        <f>E1384&amp;".268"</f>
        <v>16.268</v>
      </c>
      <c r="F1653" t="s">
        <v>2866</v>
      </c>
      <c r="G1653" t="s">
        <v>1980</v>
      </c>
      <c r="I1653">
        <v>171.392</v>
      </c>
    </row>
    <row r="1654" spans="1:9" ht="15" customHeight="1" x14ac:dyDescent="0.15">
      <c r="A1654" s="6"/>
      <c r="D1654" t="s">
        <v>90</v>
      </c>
      <c r="E1654" t="str">
        <f>E1384&amp;".269"</f>
        <v>16.269</v>
      </c>
      <c r="F1654" t="s">
        <v>2867</v>
      </c>
      <c r="G1654" t="s">
        <v>1980</v>
      </c>
      <c r="I1654">
        <v>238</v>
      </c>
    </row>
    <row r="1655" spans="1:9" ht="15" customHeight="1" x14ac:dyDescent="0.15">
      <c r="A1655" s="6"/>
      <c r="D1655" t="s">
        <v>90</v>
      </c>
      <c r="E1655" t="str">
        <f>E1384&amp;".270"</f>
        <v>16.270</v>
      </c>
      <c r="F1655" t="s">
        <v>2868</v>
      </c>
      <c r="G1655" t="s">
        <v>1980</v>
      </c>
      <c r="I1655">
        <v>271.24599999999998</v>
      </c>
    </row>
    <row r="1656" spans="1:9" ht="15" customHeight="1" x14ac:dyDescent="0.15">
      <c r="A1656" s="6"/>
      <c r="D1656" t="s">
        <v>90</v>
      </c>
      <c r="E1656" t="str">
        <f>E1384&amp;".271"</f>
        <v>16.271</v>
      </c>
      <c r="F1656" t="s">
        <v>2869</v>
      </c>
      <c r="G1656" t="s">
        <v>1980</v>
      </c>
      <c r="I1656">
        <v>270</v>
      </c>
    </row>
    <row r="1657" spans="1:9" ht="15" customHeight="1" x14ac:dyDescent="0.15">
      <c r="A1657" s="6"/>
      <c r="D1657" t="s">
        <v>90</v>
      </c>
      <c r="E1657" t="str">
        <f>E1384&amp;".272"</f>
        <v>16.272</v>
      </c>
      <c r="F1657" t="s">
        <v>2870</v>
      </c>
      <c r="G1657" t="s">
        <v>1980</v>
      </c>
      <c r="I1657">
        <v>213.46799999999999</v>
      </c>
    </row>
    <row r="1658" spans="1:9" ht="15" customHeight="1" x14ac:dyDescent="0.15">
      <c r="A1658" s="6"/>
      <c r="D1658" t="s">
        <v>90</v>
      </c>
      <c r="E1658" t="str">
        <f>E1384&amp;".273"</f>
        <v>16.273</v>
      </c>
      <c r="F1658" t="s">
        <v>2871</v>
      </c>
      <c r="G1658" t="s">
        <v>1980</v>
      </c>
      <c r="I1658">
        <v>190</v>
      </c>
    </row>
    <row r="1659" spans="1:9" ht="15" customHeight="1" x14ac:dyDescent="0.15">
      <c r="A1659" s="6"/>
      <c r="D1659" t="s">
        <v>90</v>
      </c>
      <c r="E1659" t="str">
        <f>E1384&amp;".274"</f>
        <v>16.274</v>
      </c>
      <c r="F1659" t="s">
        <v>2872</v>
      </c>
      <c r="G1659" t="s">
        <v>1980</v>
      </c>
      <c r="I1659">
        <v>209.99600000000001</v>
      </c>
    </row>
    <row r="1660" spans="1:9" ht="15" customHeight="1" x14ac:dyDescent="0.15">
      <c r="A1660" s="6"/>
      <c r="D1660" t="s">
        <v>90</v>
      </c>
      <c r="E1660" t="str">
        <f>E1384&amp;".275"</f>
        <v>16.275</v>
      </c>
      <c r="F1660" t="s">
        <v>2873</v>
      </c>
      <c r="G1660" t="s">
        <v>1980</v>
      </c>
      <c r="I1660">
        <v>209.999</v>
      </c>
    </row>
    <row r="1661" spans="1:9" ht="15" customHeight="1" x14ac:dyDescent="0.15">
      <c r="A1661" s="6"/>
      <c r="D1661" t="s">
        <v>90</v>
      </c>
      <c r="E1661" t="str">
        <f>E1384&amp;".276"</f>
        <v>16.276</v>
      </c>
      <c r="F1661" t="s">
        <v>2874</v>
      </c>
      <c r="G1661" t="s">
        <v>1980</v>
      </c>
      <c r="I1661">
        <v>209.99799999999999</v>
      </c>
    </row>
    <row r="1662" spans="1:9" ht="15" customHeight="1" x14ac:dyDescent="0.15">
      <c r="A1662" s="6"/>
      <c r="D1662" t="s">
        <v>90</v>
      </c>
      <c r="E1662" t="str">
        <f>E1384&amp;".277"</f>
        <v>16.277</v>
      </c>
      <c r="F1662" t="s">
        <v>2875</v>
      </c>
      <c r="G1662" t="s">
        <v>1980</v>
      </c>
      <c r="I1662">
        <v>209.99100000000001</v>
      </c>
    </row>
    <row r="1663" spans="1:9" ht="15" customHeight="1" x14ac:dyDescent="0.15">
      <c r="A1663" s="6"/>
      <c r="D1663" t="s">
        <v>90</v>
      </c>
      <c r="E1663" t="str">
        <f>E1384&amp;".278"</f>
        <v>16.278</v>
      </c>
      <c r="F1663" t="s">
        <v>2876</v>
      </c>
      <c r="G1663" t="s">
        <v>1980</v>
      </c>
      <c r="I1663">
        <v>209.99799999999999</v>
      </c>
    </row>
    <row r="1664" spans="1:9" ht="15" customHeight="1" x14ac:dyDescent="0.15">
      <c r="A1664" s="6"/>
      <c r="D1664" t="s">
        <v>90</v>
      </c>
      <c r="E1664" t="str">
        <f>E1384&amp;".279"</f>
        <v>16.279</v>
      </c>
      <c r="F1664" t="s">
        <v>2877</v>
      </c>
      <c r="G1664" t="s">
        <v>1980</v>
      </c>
      <c r="I1664">
        <v>209.999</v>
      </c>
    </row>
    <row r="1665" spans="1:9" ht="15" customHeight="1" x14ac:dyDescent="0.15">
      <c r="A1665" s="6"/>
      <c r="D1665" t="s">
        <v>90</v>
      </c>
      <c r="E1665" t="str">
        <f>E1384&amp;".280"</f>
        <v>16.280</v>
      </c>
      <c r="F1665" t="s">
        <v>2878</v>
      </c>
      <c r="G1665" t="s">
        <v>1980</v>
      </c>
      <c r="I1665">
        <v>209.99799999999999</v>
      </c>
    </row>
    <row r="1666" spans="1:9" ht="15" customHeight="1" x14ac:dyDescent="0.15">
      <c r="A1666" s="6"/>
      <c r="D1666" t="s">
        <v>90</v>
      </c>
      <c r="E1666" t="str">
        <f>E1384&amp;".281"</f>
        <v>16.281</v>
      </c>
      <c r="F1666" t="s">
        <v>2879</v>
      </c>
      <c r="G1666" t="s">
        <v>1980</v>
      </c>
      <c r="I1666">
        <v>209.999</v>
      </c>
    </row>
    <row r="1667" spans="1:9" ht="15" customHeight="1" x14ac:dyDescent="0.15">
      <c r="A1667" s="6"/>
      <c r="D1667" t="s">
        <v>90</v>
      </c>
      <c r="E1667" t="str">
        <f>E1384&amp;".282"</f>
        <v>16.282</v>
      </c>
      <c r="F1667" t="s">
        <v>2880</v>
      </c>
      <c r="G1667" t="s">
        <v>1980</v>
      </c>
      <c r="I1667">
        <v>209.995</v>
      </c>
    </row>
    <row r="1668" spans="1:9" ht="15" customHeight="1" x14ac:dyDescent="0.15">
      <c r="A1668" s="6"/>
      <c r="D1668" t="s">
        <v>90</v>
      </c>
      <c r="E1668" t="str">
        <f>E1384&amp;".283"</f>
        <v>16.283</v>
      </c>
      <c r="F1668" t="s">
        <v>2881</v>
      </c>
      <c r="G1668" t="s">
        <v>1980</v>
      </c>
      <c r="I1668">
        <v>210</v>
      </c>
    </row>
    <row r="1669" spans="1:9" ht="15" customHeight="1" x14ac:dyDescent="0.15">
      <c r="A1669" s="6"/>
      <c r="D1669" t="s">
        <v>90</v>
      </c>
      <c r="E1669" t="str">
        <f>E1384&amp;".284"</f>
        <v>16.284</v>
      </c>
      <c r="F1669" t="s">
        <v>2882</v>
      </c>
      <c r="G1669" t="s">
        <v>1980</v>
      </c>
      <c r="I1669">
        <v>209.99600000000001</v>
      </c>
    </row>
    <row r="1670" spans="1:9" ht="15" customHeight="1" x14ac:dyDescent="0.15">
      <c r="A1670" s="6"/>
      <c r="D1670" t="s">
        <v>90</v>
      </c>
      <c r="E1670" t="str">
        <f>E1384&amp;".285"</f>
        <v>16.285</v>
      </c>
      <c r="F1670" t="s">
        <v>2883</v>
      </c>
      <c r="G1670" t="s">
        <v>1980</v>
      </c>
      <c r="I1670">
        <v>209.999</v>
      </c>
    </row>
    <row r="1671" spans="1:9" ht="15" customHeight="1" x14ac:dyDescent="0.15">
      <c r="A1671" s="6"/>
      <c r="D1671" t="s">
        <v>90</v>
      </c>
      <c r="E1671" t="str">
        <f>E1384&amp;".286"</f>
        <v>16.286</v>
      </c>
      <c r="F1671" t="s">
        <v>2884</v>
      </c>
      <c r="G1671" t="s">
        <v>1980</v>
      </c>
      <c r="I1671">
        <v>209.995</v>
      </c>
    </row>
    <row r="1672" spans="1:9" ht="15" customHeight="1" x14ac:dyDescent="0.15">
      <c r="A1672" s="6"/>
      <c r="D1672" t="s">
        <v>90</v>
      </c>
      <c r="E1672" t="str">
        <f>E1384&amp;".287"</f>
        <v>16.287</v>
      </c>
      <c r="F1672" t="s">
        <v>2885</v>
      </c>
      <c r="G1672" t="s">
        <v>1980</v>
      </c>
      <c r="I1672">
        <v>209.995</v>
      </c>
    </row>
    <row r="1673" spans="1:9" ht="15" customHeight="1" x14ac:dyDescent="0.15">
      <c r="A1673" s="6"/>
      <c r="D1673" t="s">
        <v>90</v>
      </c>
      <c r="E1673" t="str">
        <f>E1384&amp;".288"</f>
        <v>16.288</v>
      </c>
      <c r="F1673" t="s">
        <v>2886</v>
      </c>
      <c r="G1673" t="s">
        <v>1980</v>
      </c>
      <c r="I1673">
        <v>209.99600000000001</v>
      </c>
    </row>
    <row r="1674" spans="1:9" ht="15" customHeight="1" x14ac:dyDescent="0.15">
      <c r="A1674" s="6"/>
      <c r="D1674" t="s">
        <v>90</v>
      </c>
      <c r="E1674" t="str">
        <f>E1384&amp;".289"</f>
        <v>16.289</v>
      </c>
      <c r="F1674" t="s">
        <v>2887</v>
      </c>
      <c r="G1674" t="s">
        <v>1980</v>
      </c>
      <c r="I1674">
        <v>209.99799999999999</v>
      </c>
    </row>
    <row r="1675" spans="1:9" ht="15" customHeight="1" x14ac:dyDescent="0.15">
      <c r="A1675" s="6"/>
      <c r="D1675" t="s">
        <v>90</v>
      </c>
      <c r="E1675" t="str">
        <f>E1384&amp;".290"</f>
        <v>16.290</v>
      </c>
      <c r="F1675" t="s">
        <v>2888</v>
      </c>
      <c r="G1675" t="s">
        <v>1980</v>
      </c>
      <c r="I1675">
        <v>209.99799999999999</v>
      </c>
    </row>
    <row r="1676" spans="1:9" ht="15" customHeight="1" x14ac:dyDescent="0.15">
      <c r="A1676" s="6"/>
      <c r="D1676" t="s">
        <v>90</v>
      </c>
      <c r="E1676" t="str">
        <f>E1384&amp;".291"</f>
        <v>16.291</v>
      </c>
      <c r="F1676" t="s">
        <v>2889</v>
      </c>
      <c r="G1676" t="s">
        <v>1980</v>
      </c>
      <c r="I1676">
        <v>242.81899999999999</v>
      </c>
    </row>
    <row r="1677" spans="1:9" ht="15" customHeight="1" x14ac:dyDescent="0.15">
      <c r="A1677" s="6"/>
      <c r="D1677" t="s">
        <v>90</v>
      </c>
      <c r="E1677" t="str">
        <f>E1384&amp;".292"</f>
        <v>16.292</v>
      </c>
      <c r="F1677" t="s">
        <v>2890</v>
      </c>
      <c r="G1677" t="s">
        <v>1980</v>
      </c>
      <c r="I1677">
        <v>253.249</v>
      </c>
    </row>
    <row r="1678" spans="1:9" ht="15" customHeight="1" x14ac:dyDescent="0.15">
      <c r="A1678" s="6"/>
      <c r="D1678" t="s">
        <v>90</v>
      </c>
      <c r="E1678" t="str">
        <f>E1384&amp;".293"</f>
        <v>16.293</v>
      </c>
      <c r="F1678" t="s">
        <v>2891</v>
      </c>
      <c r="G1678" t="s">
        <v>1980</v>
      </c>
      <c r="I1678">
        <v>229.94399999999999</v>
      </c>
    </row>
    <row r="1679" spans="1:9" ht="15" customHeight="1" x14ac:dyDescent="0.15">
      <c r="A1679" s="6"/>
      <c r="D1679" t="s">
        <v>90</v>
      </c>
      <c r="E1679" t="str">
        <f>E1384&amp;".294"</f>
        <v>16.294</v>
      </c>
      <c r="F1679" t="s">
        <v>2892</v>
      </c>
      <c r="G1679" t="s">
        <v>1980</v>
      </c>
      <c r="I1679">
        <v>234.99799999999999</v>
      </c>
    </row>
    <row r="1680" spans="1:9" ht="15" customHeight="1" x14ac:dyDescent="0.15">
      <c r="A1680" s="6"/>
      <c r="D1680" t="s">
        <v>90</v>
      </c>
      <c r="E1680" t="str">
        <f>E1384&amp;".295"</f>
        <v>16.295</v>
      </c>
      <c r="F1680" t="s">
        <v>2893</v>
      </c>
      <c r="G1680" t="s">
        <v>1980</v>
      </c>
      <c r="I1680">
        <v>241.00700000000001</v>
      </c>
    </row>
    <row r="1681" spans="1:9" ht="15" customHeight="1" x14ac:dyDescent="0.15">
      <c r="A1681" s="6"/>
      <c r="D1681" t="s">
        <v>90</v>
      </c>
      <c r="E1681" t="str">
        <f>E1384&amp;".296"</f>
        <v>16.296</v>
      </c>
      <c r="F1681" t="s">
        <v>2894</v>
      </c>
      <c r="G1681" t="s">
        <v>1980</v>
      </c>
      <c r="I1681">
        <v>237.00200000000001</v>
      </c>
    </row>
    <row r="1682" spans="1:9" ht="15" customHeight="1" x14ac:dyDescent="0.15">
      <c r="A1682" s="6"/>
      <c r="D1682" t="s">
        <v>90</v>
      </c>
      <c r="E1682" t="str">
        <f>E1384&amp;".297"</f>
        <v>16.297</v>
      </c>
      <c r="F1682" t="s">
        <v>2895</v>
      </c>
      <c r="G1682" t="s">
        <v>1980</v>
      </c>
      <c r="I1682">
        <v>234.989</v>
      </c>
    </row>
    <row r="1683" spans="1:9" ht="15" customHeight="1" x14ac:dyDescent="0.15">
      <c r="A1683" s="6"/>
      <c r="D1683" t="s">
        <v>90</v>
      </c>
      <c r="E1683" t="str">
        <f>E1384&amp;".298"</f>
        <v>16.298</v>
      </c>
      <c r="F1683" t="s">
        <v>2896</v>
      </c>
      <c r="G1683" t="s">
        <v>1980</v>
      </c>
      <c r="I1683">
        <v>277.61700000000002</v>
      </c>
    </row>
    <row r="1684" spans="1:9" ht="15" customHeight="1" x14ac:dyDescent="0.15">
      <c r="A1684" s="6"/>
      <c r="D1684" t="s">
        <v>90</v>
      </c>
      <c r="E1684" t="str">
        <f>E1384&amp;".299"</f>
        <v>16.299</v>
      </c>
      <c r="F1684" t="s">
        <v>2897</v>
      </c>
      <c r="G1684" t="s">
        <v>1980</v>
      </c>
      <c r="I1684">
        <v>248.99700000000001</v>
      </c>
    </row>
    <row r="1685" spans="1:9" ht="15" customHeight="1" x14ac:dyDescent="0.15">
      <c r="A1685" s="6"/>
      <c r="D1685" t="s">
        <v>90</v>
      </c>
      <c r="E1685" t="str">
        <f>E1384&amp;".300"</f>
        <v>16.300</v>
      </c>
      <c r="F1685" t="s">
        <v>2898</v>
      </c>
      <c r="G1685" t="s">
        <v>1980</v>
      </c>
      <c r="I1685">
        <v>193.09899999999999</v>
      </c>
    </row>
    <row r="1686" spans="1:9" ht="15" customHeight="1" x14ac:dyDescent="0.15">
      <c r="A1686" s="6"/>
      <c r="D1686" t="s">
        <v>90</v>
      </c>
      <c r="E1686" t="str">
        <f>E1384&amp;".301"</f>
        <v>16.301</v>
      </c>
      <c r="F1686" t="s">
        <v>2899</v>
      </c>
      <c r="G1686" t="s">
        <v>1980</v>
      </c>
      <c r="I1686">
        <v>164.279</v>
      </c>
    </row>
    <row r="1687" spans="1:9" ht="15" customHeight="1" x14ac:dyDescent="0.15">
      <c r="A1687" s="6"/>
      <c r="D1687" t="s">
        <v>90</v>
      </c>
      <c r="E1687" t="str">
        <f>E1384&amp;".302"</f>
        <v>16.302</v>
      </c>
      <c r="F1687" t="s">
        <v>2900</v>
      </c>
      <c r="G1687" t="s">
        <v>1980</v>
      </c>
      <c r="I1687">
        <v>199.23099999999999</v>
      </c>
    </row>
    <row r="1688" spans="1:9" ht="15" customHeight="1" x14ac:dyDescent="0.15">
      <c r="A1688" s="6"/>
      <c r="D1688" t="s">
        <v>90</v>
      </c>
      <c r="E1688" t="str">
        <f>E1384&amp;".303"</f>
        <v>16.303</v>
      </c>
      <c r="F1688" t="s">
        <v>2901</v>
      </c>
      <c r="G1688" t="s">
        <v>1980</v>
      </c>
      <c r="I1688">
        <v>279.99200000000002</v>
      </c>
    </row>
    <row r="1689" spans="1:9" ht="15" customHeight="1" x14ac:dyDescent="0.15">
      <c r="A1689" s="6"/>
      <c r="D1689" t="s">
        <v>90</v>
      </c>
      <c r="E1689" t="str">
        <f>E1384&amp;".304"</f>
        <v>16.304</v>
      </c>
      <c r="F1689" t="s">
        <v>2902</v>
      </c>
      <c r="G1689" t="s">
        <v>1980</v>
      </c>
      <c r="I1689">
        <v>172.059</v>
      </c>
    </row>
    <row r="1690" spans="1:9" ht="15" customHeight="1" x14ac:dyDescent="0.15">
      <c r="A1690" s="6"/>
      <c r="D1690" t="s">
        <v>90</v>
      </c>
      <c r="E1690" t="str">
        <f>E1384&amp;".305"</f>
        <v>16.305</v>
      </c>
      <c r="F1690" t="s">
        <v>2903</v>
      </c>
      <c r="G1690" t="s">
        <v>1980</v>
      </c>
      <c r="I1690">
        <v>229.83199999999999</v>
      </c>
    </row>
    <row r="1691" spans="1:9" ht="15" customHeight="1" x14ac:dyDescent="0.15">
      <c r="A1691" s="6"/>
      <c r="D1691" t="s">
        <v>90</v>
      </c>
      <c r="E1691" t="str">
        <f>E1384&amp;".306"</f>
        <v>16.306</v>
      </c>
      <c r="F1691" t="s">
        <v>2904</v>
      </c>
      <c r="G1691" t="s">
        <v>1980</v>
      </c>
      <c r="I1691">
        <v>234.999</v>
      </c>
    </row>
    <row r="1692" spans="1:9" ht="15" customHeight="1" x14ac:dyDescent="0.15">
      <c r="A1692" s="6"/>
      <c r="D1692" t="s">
        <v>90</v>
      </c>
      <c r="E1692" t="str">
        <f>E1384&amp;".307"</f>
        <v>16.307</v>
      </c>
      <c r="F1692" t="s">
        <v>2905</v>
      </c>
      <c r="G1692" t="s">
        <v>1980</v>
      </c>
      <c r="I1692">
        <v>279.98899999999998</v>
      </c>
    </row>
    <row r="1693" spans="1:9" ht="15" customHeight="1" x14ac:dyDescent="0.15">
      <c r="A1693" s="6"/>
      <c r="D1693" t="s">
        <v>90</v>
      </c>
      <c r="E1693" t="str">
        <f>E1384&amp;".308"</f>
        <v>16.308</v>
      </c>
      <c r="F1693" t="s">
        <v>2906</v>
      </c>
      <c r="G1693" t="s">
        <v>1980</v>
      </c>
      <c r="I1693">
        <v>266.08300000000003</v>
      </c>
    </row>
    <row r="1694" spans="1:9" ht="15" customHeight="1" x14ac:dyDescent="0.15">
      <c r="A1694" s="6"/>
      <c r="D1694" t="s">
        <v>90</v>
      </c>
      <c r="E1694" t="str">
        <f>E1384&amp;".309"</f>
        <v>16.309</v>
      </c>
      <c r="F1694" t="s">
        <v>2907</v>
      </c>
      <c r="G1694" t="s">
        <v>1980</v>
      </c>
      <c r="I1694">
        <v>254.96799999999999</v>
      </c>
    </row>
    <row r="1695" spans="1:9" ht="15" customHeight="1" x14ac:dyDescent="0.15">
      <c r="A1695" s="6"/>
      <c r="D1695" t="s">
        <v>90</v>
      </c>
      <c r="E1695" t="str">
        <f>E1384&amp;".310"</f>
        <v>16.310</v>
      </c>
      <c r="F1695" t="s">
        <v>2908</v>
      </c>
      <c r="G1695" t="s">
        <v>1980</v>
      </c>
      <c r="I1695">
        <v>248.684</v>
      </c>
    </row>
    <row r="1696" spans="1:9" ht="15" customHeight="1" x14ac:dyDescent="0.15">
      <c r="A1696" s="6"/>
      <c r="D1696" t="s">
        <v>90</v>
      </c>
      <c r="E1696" t="str">
        <f>E1384&amp;".311"</f>
        <v>16.311</v>
      </c>
      <c r="F1696" t="s">
        <v>2909</v>
      </c>
      <c r="G1696" t="s">
        <v>1980</v>
      </c>
      <c r="I1696">
        <v>250.57300000000001</v>
      </c>
    </row>
    <row r="1697" spans="1:9" ht="15" customHeight="1" x14ac:dyDescent="0.15">
      <c r="A1697" s="6"/>
      <c r="D1697" t="s">
        <v>90</v>
      </c>
      <c r="E1697" t="str">
        <f>E1384&amp;".312"</f>
        <v>16.312</v>
      </c>
      <c r="F1697" t="s">
        <v>2239</v>
      </c>
      <c r="G1697" t="s">
        <v>1980</v>
      </c>
      <c r="I1697">
        <v>254.53299999999999</v>
      </c>
    </row>
    <row r="1698" spans="1:9" ht="15" customHeight="1" x14ac:dyDescent="0.15">
      <c r="A1698" s="6"/>
      <c r="D1698" t="s">
        <v>90</v>
      </c>
      <c r="E1698" t="str">
        <f>E1384&amp;".313"</f>
        <v>16.313</v>
      </c>
      <c r="F1698" t="s">
        <v>2910</v>
      </c>
      <c r="G1698" t="s">
        <v>1980</v>
      </c>
      <c r="I1698">
        <v>238.09800000000001</v>
      </c>
    </row>
    <row r="1699" spans="1:9" ht="15" customHeight="1" x14ac:dyDescent="0.15">
      <c r="A1699" s="6"/>
      <c r="D1699" t="s">
        <v>90</v>
      </c>
      <c r="E1699" t="str">
        <f>E1384&amp;".314"</f>
        <v>16.314</v>
      </c>
      <c r="F1699" t="s">
        <v>2911</v>
      </c>
      <c r="G1699" t="s">
        <v>1980</v>
      </c>
      <c r="I1699">
        <v>235.73</v>
      </c>
    </row>
    <row r="1700" spans="1:9" ht="15" customHeight="1" x14ac:dyDescent="0.15">
      <c r="A1700" s="6"/>
      <c r="D1700" t="s">
        <v>90</v>
      </c>
      <c r="E1700" t="str">
        <f>E1384&amp;".315"</f>
        <v>16.315</v>
      </c>
      <c r="F1700" t="s">
        <v>2912</v>
      </c>
      <c r="G1700" t="s">
        <v>1980</v>
      </c>
      <c r="I1700">
        <v>239.08500000000001</v>
      </c>
    </row>
    <row r="1701" spans="1:9" ht="15" customHeight="1" x14ac:dyDescent="0.15">
      <c r="A1701" s="6"/>
      <c r="D1701" t="s">
        <v>90</v>
      </c>
      <c r="E1701" t="str">
        <f>E1384&amp;".316"</f>
        <v>16.316</v>
      </c>
      <c r="F1701" t="s">
        <v>2913</v>
      </c>
      <c r="G1701" t="s">
        <v>1980</v>
      </c>
      <c r="I1701">
        <v>252.018</v>
      </c>
    </row>
    <row r="1702" spans="1:9" ht="15" customHeight="1" x14ac:dyDescent="0.15">
      <c r="A1702" s="6"/>
      <c r="D1702" t="s">
        <v>90</v>
      </c>
      <c r="E1702" t="str">
        <f>E1384&amp;".317"</f>
        <v>16.317</v>
      </c>
      <c r="F1702" t="s">
        <v>2914</v>
      </c>
      <c r="G1702" t="s">
        <v>1980</v>
      </c>
      <c r="I1702">
        <v>173.4</v>
      </c>
    </row>
    <row r="1703" spans="1:9" ht="15" customHeight="1" x14ac:dyDescent="0.15">
      <c r="A1703" s="6"/>
      <c r="D1703" t="s">
        <v>90</v>
      </c>
      <c r="E1703" t="str">
        <f>E1384&amp;".318"</f>
        <v>16.318</v>
      </c>
      <c r="F1703" t="s">
        <v>2915</v>
      </c>
      <c r="G1703" t="s">
        <v>1980</v>
      </c>
      <c r="I1703">
        <v>238.899</v>
      </c>
    </row>
    <row r="1704" spans="1:9" ht="15" customHeight="1" x14ac:dyDescent="0.15">
      <c r="A1704" s="6"/>
      <c r="D1704" t="s">
        <v>90</v>
      </c>
      <c r="E1704" t="str">
        <f>E1384&amp;".319"</f>
        <v>16.319</v>
      </c>
      <c r="F1704" t="s">
        <v>2916</v>
      </c>
      <c r="G1704" t="s">
        <v>1980</v>
      </c>
      <c r="I1704">
        <v>238.62700000000001</v>
      </c>
    </row>
    <row r="1705" spans="1:9" ht="15" customHeight="1" x14ac:dyDescent="0.15">
      <c r="A1705" s="6"/>
      <c r="D1705" t="s">
        <v>90</v>
      </c>
      <c r="E1705" t="str">
        <f>E1384&amp;".320"</f>
        <v>16.320</v>
      </c>
      <c r="F1705" t="s">
        <v>2917</v>
      </c>
      <c r="G1705" t="s">
        <v>1980</v>
      </c>
      <c r="I1705">
        <v>210</v>
      </c>
    </row>
    <row r="1706" spans="1:9" ht="15" customHeight="1" x14ac:dyDescent="0.15">
      <c r="A1706" s="6"/>
      <c r="D1706" t="s">
        <v>90</v>
      </c>
      <c r="E1706" t="str">
        <f>E1384&amp;".321"</f>
        <v>16.321</v>
      </c>
      <c r="F1706" t="s">
        <v>2918</v>
      </c>
      <c r="G1706" t="s">
        <v>1980</v>
      </c>
      <c r="I1706">
        <v>210</v>
      </c>
    </row>
    <row r="1707" spans="1:9" ht="15" customHeight="1" x14ac:dyDescent="0.15">
      <c r="A1707" s="6"/>
      <c r="D1707" t="s">
        <v>90</v>
      </c>
      <c r="E1707" t="str">
        <f>E1384&amp;".322"</f>
        <v>16.322</v>
      </c>
      <c r="F1707" t="s">
        <v>2919</v>
      </c>
      <c r="G1707" t="s">
        <v>1980</v>
      </c>
      <c r="I1707">
        <v>210</v>
      </c>
    </row>
    <row r="1708" spans="1:9" ht="15" customHeight="1" x14ac:dyDescent="0.15">
      <c r="A1708" s="6"/>
      <c r="D1708" t="s">
        <v>90</v>
      </c>
      <c r="E1708" t="str">
        <f>E1384&amp;".323"</f>
        <v>16.323</v>
      </c>
      <c r="F1708" t="s">
        <v>2265</v>
      </c>
      <c r="G1708" t="s">
        <v>1980</v>
      </c>
      <c r="I1708">
        <v>210</v>
      </c>
    </row>
    <row r="1709" spans="1:9" ht="15" customHeight="1" x14ac:dyDescent="0.15">
      <c r="A1709" s="6"/>
      <c r="D1709" t="s">
        <v>90</v>
      </c>
      <c r="E1709" t="str">
        <f>E1384&amp;".324"</f>
        <v>16.324</v>
      </c>
      <c r="F1709" t="s">
        <v>2920</v>
      </c>
      <c r="G1709" t="s">
        <v>1980</v>
      </c>
      <c r="I1709">
        <v>210</v>
      </c>
    </row>
    <row r="1710" spans="1:9" ht="15" customHeight="1" x14ac:dyDescent="0.15">
      <c r="A1710" s="6"/>
      <c r="D1710" t="s">
        <v>90</v>
      </c>
      <c r="E1710" t="str">
        <f>E1384&amp;".325"</f>
        <v>16.325</v>
      </c>
      <c r="F1710" t="s">
        <v>2921</v>
      </c>
      <c r="G1710" t="s">
        <v>1980</v>
      </c>
      <c r="I1710">
        <v>210</v>
      </c>
    </row>
    <row r="1711" spans="1:9" ht="15" customHeight="1" x14ac:dyDescent="0.15">
      <c r="A1711" s="6"/>
      <c r="D1711" t="s">
        <v>90</v>
      </c>
      <c r="E1711" t="str">
        <f>E1384&amp;".326"</f>
        <v>16.326</v>
      </c>
      <c r="F1711" t="s">
        <v>2922</v>
      </c>
      <c r="G1711" t="s">
        <v>1980</v>
      </c>
      <c r="I1711">
        <v>210</v>
      </c>
    </row>
    <row r="1712" spans="1:9" ht="15" customHeight="1" x14ac:dyDescent="0.15">
      <c r="A1712" s="6"/>
      <c r="D1712" t="s">
        <v>90</v>
      </c>
      <c r="E1712" t="str">
        <f>E1384&amp;".327"</f>
        <v>16.327</v>
      </c>
      <c r="F1712" t="s">
        <v>2923</v>
      </c>
      <c r="G1712" t="s">
        <v>1980</v>
      </c>
      <c r="I1712">
        <v>210</v>
      </c>
    </row>
    <row r="1713" spans="1:9" ht="15" customHeight="1" x14ac:dyDescent="0.15">
      <c r="A1713" s="6"/>
      <c r="D1713" t="s">
        <v>90</v>
      </c>
      <c r="E1713" t="str">
        <f>E1384&amp;".328"</f>
        <v>16.328</v>
      </c>
      <c r="F1713" t="s">
        <v>2924</v>
      </c>
      <c r="G1713" t="s">
        <v>1980</v>
      </c>
      <c r="I1713">
        <v>210</v>
      </c>
    </row>
    <row r="1714" spans="1:9" ht="15" customHeight="1" x14ac:dyDescent="0.15">
      <c r="A1714" s="6"/>
      <c r="D1714" t="s">
        <v>90</v>
      </c>
      <c r="E1714" t="str">
        <f>E1384&amp;".329"</f>
        <v>16.329</v>
      </c>
      <c r="F1714" t="s">
        <v>2269</v>
      </c>
      <c r="G1714" t="s">
        <v>1980</v>
      </c>
      <c r="I1714">
        <v>210</v>
      </c>
    </row>
    <row r="1715" spans="1:9" ht="15" customHeight="1" x14ac:dyDescent="0.15">
      <c r="A1715" s="6"/>
      <c r="D1715" t="s">
        <v>90</v>
      </c>
      <c r="E1715" t="str">
        <f>E1384&amp;".330"</f>
        <v>16.330</v>
      </c>
      <c r="F1715" t="s">
        <v>2257</v>
      </c>
      <c r="G1715" t="s">
        <v>1980</v>
      </c>
      <c r="I1715">
        <v>210</v>
      </c>
    </row>
    <row r="1716" spans="1:9" ht="15" customHeight="1" x14ac:dyDescent="0.15">
      <c r="A1716" s="6"/>
      <c r="D1716" t="s">
        <v>90</v>
      </c>
      <c r="E1716" t="str">
        <f>E1384&amp;".331"</f>
        <v>16.331</v>
      </c>
      <c r="F1716" t="s">
        <v>2925</v>
      </c>
      <c r="G1716" t="s">
        <v>1980</v>
      </c>
      <c r="I1716">
        <v>210</v>
      </c>
    </row>
    <row r="1717" spans="1:9" ht="15" customHeight="1" x14ac:dyDescent="0.15">
      <c r="A1717" s="6"/>
      <c r="D1717" t="s">
        <v>90</v>
      </c>
      <c r="E1717" t="str">
        <f>E1384&amp;".332"</f>
        <v>16.332</v>
      </c>
      <c r="F1717" t="s">
        <v>2926</v>
      </c>
      <c r="G1717" t="s">
        <v>1980</v>
      </c>
      <c r="I1717">
        <v>210</v>
      </c>
    </row>
    <row r="1718" spans="1:9" ht="15" customHeight="1" x14ac:dyDescent="0.15">
      <c r="A1718" s="6"/>
      <c r="D1718" t="s">
        <v>90</v>
      </c>
      <c r="E1718" t="str">
        <f>E1384&amp;".333"</f>
        <v>16.333</v>
      </c>
      <c r="F1718" t="s">
        <v>2927</v>
      </c>
      <c r="G1718" t="s">
        <v>1980</v>
      </c>
      <c r="I1718">
        <v>210</v>
      </c>
    </row>
    <row r="1719" spans="1:9" ht="15" customHeight="1" x14ac:dyDescent="0.15">
      <c r="A1719" s="6"/>
      <c r="D1719" t="s">
        <v>90</v>
      </c>
      <c r="E1719" t="str">
        <f>E1384&amp;".334"</f>
        <v>16.334</v>
      </c>
      <c r="F1719" t="s">
        <v>2928</v>
      </c>
      <c r="G1719" t="s">
        <v>1980</v>
      </c>
      <c r="I1719">
        <v>210</v>
      </c>
    </row>
    <row r="1720" spans="1:9" ht="15" customHeight="1" x14ac:dyDescent="0.15">
      <c r="A1720" s="6"/>
      <c r="D1720" t="s">
        <v>90</v>
      </c>
      <c r="E1720" t="str">
        <f>E1384&amp;".335"</f>
        <v>16.335</v>
      </c>
      <c r="F1720" t="s">
        <v>2929</v>
      </c>
      <c r="G1720" t="s">
        <v>1980</v>
      </c>
      <c r="I1720">
        <v>175.68700000000001</v>
      </c>
    </row>
    <row r="1721" spans="1:9" ht="15" customHeight="1" x14ac:dyDescent="0.15">
      <c r="A1721" s="6"/>
      <c r="D1721" t="s">
        <v>90</v>
      </c>
      <c r="E1721" t="str">
        <f>E1384&amp;".336"</f>
        <v>16.336</v>
      </c>
      <c r="F1721" t="s">
        <v>2930</v>
      </c>
      <c r="G1721" t="s">
        <v>1980</v>
      </c>
      <c r="I1721">
        <v>167.398</v>
      </c>
    </row>
    <row r="1722" spans="1:9" ht="15" customHeight="1" x14ac:dyDescent="0.15">
      <c r="A1722" s="6"/>
      <c r="D1722" t="s">
        <v>90</v>
      </c>
      <c r="E1722" t="str">
        <f>E1384&amp;".337"</f>
        <v>16.337</v>
      </c>
      <c r="F1722" t="s">
        <v>2931</v>
      </c>
      <c r="G1722" t="s">
        <v>1980</v>
      </c>
      <c r="I1722">
        <v>268</v>
      </c>
    </row>
    <row r="1723" spans="1:9" ht="15" customHeight="1" x14ac:dyDescent="0.15">
      <c r="A1723" s="6"/>
      <c r="D1723" t="s">
        <v>90</v>
      </c>
      <c r="E1723" t="str">
        <f>E1384&amp;".338"</f>
        <v>16.338</v>
      </c>
      <c r="F1723" t="s">
        <v>2932</v>
      </c>
      <c r="G1723" t="s">
        <v>1980</v>
      </c>
      <c r="I1723">
        <v>182.226</v>
      </c>
    </row>
    <row r="1724" spans="1:9" ht="15" customHeight="1" x14ac:dyDescent="0.15">
      <c r="A1724" s="6"/>
      <c r="D1724" t="s">
        <v>90</v>
      </c>
      <c r="E1724" t="str">
        <f>E1384&amp;".339"</f>
        <v>16.339</v>
      </c>
      <c r="F1724" t="s">
        <v>2275</v>
      </c>
      <c r="G1724" t="s">
        <v>1980</v>
      </c>
      <c r="I1724">
        <v>268</v>
      </c>
    </row>
    <row r="1725" spans="1:9" ht="15" customHeight="1" x14ac:dyDescent="0.15">
      <c r="A1725" s="6"/>
      <c r="D1725" t="s">
        <v>90</v>
      </c>
      <c r="E1725" t="str">
        <f>E1384&amp;".340"</f>
        <v>16.340</v>
      </c>
      <c r="F1725" t="s">
        <v>2262</v>
      </c>
      <c r="G1725" t="s">
        <v>1980</v>
      </c>
      <c r="I1725">
        <v>268</v>
      </c>
    </row>
    <row r="1726" spans="1:9" ht="15" customHeight="1" x14ac:dyDescent="0.15">
      <c r="A1726" s="6"/>
      <c r="D1726" t="s">
        <v>90</v>
      </c>
      <c r="E1726" t="str">
        <f>E1384&amp;".341"</f>
        <v>16.341</v>
      </c>
      <c r="F1726" t="s">
        <v>2933</v>
      </c>
      <c r="G1726" t="s">
        <v>1980</v>
      </c>
      <c r="I1726">
        <v>268</v>
      </c>
    </row>
    <row r="1727" spans="1:9" ht="15" customHeight="1" x14ac:dyDescent="0.15">
      <c r="A1727" s="6"/>
      <c r="D1727" t="s">
        <v>90</v>
      </c>
      <c r="E1727" t="str">
        <f>E1384&amp;".342"</f>
        <v>16.342</v>
      </c>
      <c r="F1727" t="s">
        <v>2934</v>
      </c>
      <c r="G1727" t="s">
        <v>1980</v>
      </c>
      <c r="I1727">
        <v>175.28200000000001</v>
      </c>
    </row>
    <row r="1728" spans="1:9" ht="15" customHeight="1" x14ac:dyDescent="0.15">
      <c r="A1728" s="6"/>
      <c r="D1728" t="s">
        <v>90</v>
      </c>
      <c r="E1728" t="str">
        <f>E1384&amp;".343"</f>
        <v>16.343</v>
      </c>
      <c r="F1728" t="s">
        <v>2256</v>
      </c>
      <c r="G1728" t="s">
        <v>1980</v>
      </c>
      <c r="I1728">
        <v>226.065</v>
      </c>
    </row>
    <row r="1729" spans="1:9" ht="15" customHeight="1" x14ac:dyDescent="0.15">
      <c r="A1729" s="6"/>
      <c r="D1729" t="s">
        <v>90</v>
      </c>
      <c r="E1729" t="str">
        <f>E1384&amp;".344"</f>
        <v>16.344</v>
      </c>
      <c r="F1729" t="s">
        <v>2270</v>
      </c>
      <c r="G1729" t="s">
        <v>1980</v>
      </c>
      <c r="I1729">
        <v>268</v>
      </c>
    </row>
    <row r="1730" spans="1:9" ht="15" customHeight="1" x14ac:dyDescent="0.15">
      <c r="A1730" s="6"/>
      <c r="D1730" t="s">
        <v>90</v>
      </c>
      <c r="E1730" t="str">
        <f>E1384&amp;".345"</f>
        <v>16.345</v>
      </c>
      <c r="F1730" t="s">
        <v>2271</v>
      </c>
      <c r="G1730" t="s">
        <v>1980</v>
      </c>
      <c r="I1730">
        <v>268</v>
      </c>
    </row>
    <row r="1731" spans="1:9" ht="15" customHeight="1" x14ac:dyDescent="0.15">
      <c r="A1731" s="6"/>
      <c r="D1731" t="s">
        <v>90</v>
      </c>
      <c r="E1731" t="str">
        <f>E1384&amp;".346"</f>
        <v>16.346</v>
      </c>
      <c r="F1731" t="s">
        <v>2935</v>
      </c>
      <c r="G1731" t="s">
        <v>1980</v>
      </c>
      <c r="I1731">
        <v>268</v>
      </c>
    </row>
    <row r="1732" spans="1:9" ht="15" customHeight="1" x14ac:dyDescent="0.15">
      <c r="A1732" s="6"/>
      <c r="D1732" t="s">
        <v>90</v>
      </c>
      <c r="E1732" t="str">
        <f>E1384&amp;".347"</f>
        <v>16.347</v>
      </c>
      <c r="F1732" t="s">
        <v>2258</v>
      </c>
      <c r="G1732" t="s">
        <v>1980</v>
      </c>
      <c r="I1732">
        <v>180.10599999999999</v>
      </c>
    </row>
    <row r="1733" spans="1:9" ht="15" customHeight="1" x14ac:dyDescent="0.15">
      <c r="A1733" s="6"/>
      <c r="D1733" t="s">
        <v>90</v>
      </c>
      <c r="E1733" t="str">
        <f>E1384&amp;".348"</f>
        <v>16.348</v>
      </c>
      <c r="F1733" t="s">
        <v>2259</v>
      </c>
      <c r="G1733" t="s">
        <v>1980</v>
      </c>
      <c r="I1733">
        <v>185.64099999999999</v>
      </c>
    </row>
    <row r="1734" spans="1:9" ht="15" customHeight="1" x14ac:dyDescent="0.15">
      <c r="A1734" s="6"/>
      <c r="D1734" t="s">
        <v>90</v>
      </c>
      <c r="E1734" t="str">
        <f>E1384&amp;".349"</f>
        <v>16.349</v>
      </c>
      <c r="F1734" t="s">
        <v>2260</v>
      </c>
      <c r="G1734" t="s">
        <v>1980</v>
      </c>
      <c r="I1734">
        <v>192.233</v>
      </c>
    </row>
    <row r="1735" spans="1:9" ht="15" customHeight="1" x14ac:dyDescent="0.15">
      <c r="A1735" s="6"/>
      <c r="D1735" t="s">
        <v>90</v>
      </c>
      <c r="E1735" t="str">
        <f>E1384&amp;".350"</f>
        <v>16.350</v>
      </c>
      <c r="F1735" t="s">
        <v>2936</v>
      </c>
      <c r="G1735" t="s">
        <v>1980</v>
      </c>
      <c r="I1735">
        <v>210</v>
      </c>
    </row>
    <row r="1736" spans="1:9" ht="15" customHeight="1" x14ac:dyDescent="0.15">
      <c r="A1736" s="6"/>
      <c r="D1736" t="s">
        <v>90</v>
      </c>
      <c r="E1736" t="str">
        <f>E1384&amp;".351"</f>
        <v>16.351</v>
      </c>
      <c r="F1736" t="s">
        <v>2937</v>
      </c>
      <c r="G1736" t="s">
        <v>1980</v>
      </c>
      <c r="I1736">
        <v>210</v>
      </c>
    </row>
    <row r="1737" spans="1:9" ht="15" customHeight="1" x14ac:dyDescent="0.15">
      <c r="A1737" s="6"/>
      <c r="D1737" t="s">
        <v>90</v>
      </c>
      <c r="E1737" t="str">
        <f>E1384&amp;".352"</f>
        <v>16.352</v>
      </c>
      <c r="F1737" t="s">
        <v>2938</v>
      </c>
      <c r="G1737" t="s">
        <v>1980</v>
      </c>
      <c r="I1737">
        <v>227.821</v>
      </c>
    </row>
    <row r="1738" spans="1:9" ht="15" customHeight="1" x14ac:dyDescent="0.15">
      <c r="A1738" s="6"/>
      <c r="D1738" t="s">
        <v>90</v>
      </c>
      <c r="E1738" t="str">
        <f>E1384&amp;".353"</f>
        <v>16.353</v>
      </c>
      <c r="F1738" t="s">
        <v>2939</v>
      </c>
      <c r="G1738" t="s">
        <v>1980</v>
      </c>
      <c r="I1738">
        <v>233.55199999999999</v>
      </c>
    </row>
    <row r="1739" spans="1:9" ht="15" customHeight="1" x14ac:dyDescent="0.15">
      <c r="A1739" s="6"/>
      <c r="D1739" t="s">
        <v>90</v>
      </c>
      <c r="E1739" t="str">
        <f>E1384&amp;".354"</f>
        <v>16.354</v>
      </c>
      <c r="F1739" t="s">
        <v>2940</v>
      </c>
      <c r="G1739" t="s">
        <v>1980</v>
      </c>
      <c r="I1739">
        <v>277.226</v>
      </c>
    </row>
    <row r="1740" spans="1:9" ht="15" customHeight="1" x14ac:dyDescent="0.15">
      <c r="A1740" s="6"/>
      <c r="D1740" t="s">
        <v>90</v>
      </c>
      <c r="E1740" t="str">
        <f>E1384&amp;".355"</f>
        <v>16.355</v>
      </c>
      <c r="F1740" t="s">
        <v>2285</v>
      </c>
      <c r="G1740" t="s">
        <v>1980</v>
      </c>
      <c r="I1740">
        <v>265.25700000000001</v>
      </c>
    </row>
    <row r="1741" spans="1:9" ht="15" customHeight="1" x14ac:dyDescent="0.15">
      <c r="A1741" s="6"/>
      <c r="D1741" t="s">
        <v>90</v>
      </c>
      <c r="E1741" t="str">
        <f>E1384&amp;".356"</f>
        <v>16.356</v>
      </c>
      <c r="F1741" t="s">
        <v>2286</v>
      </c>
      <c r="G1741" t="s">
        <v>1980</v>
      </c>
      <c r="I1741">
        <v>320</v>
      </c>
    </row>
    <row r="1742" spans="1:9" ht="15" customHeight="1" x14ac:dyDescent="0.15">
      <c r="A1742" s="6"/>
      <c r="D1742" t="s">
        <v>90</v>
      </c>
      <c r="E1742" t="str">
        <f>E1384&amp;".357"</f>
        <v>16.357</v>
      </c>
      <c r="F1742" t="s">
        <v>2288</v>
      </c>
      <c r="G1742" t="s">
        <v>1980</v>
      </c>
      <c r="I1742">
        <v>227.51</v>
      </c>
    </row>
    <row r="1743" spans="1:9" ht="15" customHeight="1" x14ac:dyDescent="0.15">
      <c r="A1743" s="6"/>
      <c r="D1743" t="s">
        <v>90</v>
      </c>
      <c r="E1743" t="str">
        <f>E1384&amp;".358"</f>
        <v>16.358</v>
      </c>
      <c r="F1743" t="s">
        <v>2941</v>
      </c>
      <c r="G1743" t="s">
        <v>1980</v>
      </c>
      <c r="I1743">
        <v>255.178</v>
      </c>
    </row>
    <row r="1744" spans="1:9" ht="15" customHeight="1" x14ac:dyDescent="0.15">
      <c r="A1744" s="6"/>
      <c r="D1744" t="s">
        <v>90</v>
      </c>
      <c r="E1744" t="str">
        <f>E1384&amp;".359"</f>
        <v>16.359</v>
      </c>
      <c r="F1744" t="s">
        <v>2942</v>
      </c>
      <c r="G1744" t="s">
        <v>1980</v>
      </c>
      <c r="I1744">
        <v>210</v>
      </c>
    </row>
    <row r="1745" spans="1:9" ht="15" customHeight="1" x14ac:dyDescent="0.15">
      <c r="A1745" s="6"/>
      <c r="D1745" t="s">
        <v>90</v>
      </c>
      <c r="E1745" t="str">
        <f>E1384&amp;".360"</f>
        <v>16.360</v>
      </c>
      <c r="F1745" t="s">
        <v>2943</v>
      </c>
      <c r="G1745" t="s">
        <v>1980</v>
      </c>
      <c r="I1745">
        <v>210</v>
      </c>
    </row>
    <row r="1746" spans="1:9" ht="15" customHeight="1" x14ac:dyDescent="0.15">
      <c r="A1746" s="6"/>
      <c r="D1746" t="s">
        <v>90</v>
      </c>
      <c r="E1746" t="str">
        <f>E1384&amp;".361"</f>
        <v>16.361</v>
      </c>
      <c r="F1746" t="s">
        <v>2944</v>
      </c>
      <c r="G1746" t="s">
        <v>1980</v>
      </c>
      <c r="I1746">
        <v>210</v>
      </c>
    </row>
    <row r="1747" spans="1:9" ht="15" customHeight="1" x14ac:dyDescent="0.15">
      <c r="A1747" s="6"/>
      <c r="D1747" t="s">
        <v>90</v>
      </c>
      <c r="E1747" t="str">
        <f>E1384&amp;".362"</f>
        <v>16.362</v>
      </c>
      <c r="F1747" t="s">
        <v>2945</v>
      </c>
      <c r="G1747" t="s">
        <v>1980</v>
      </c>
      <c r="I1747">
        <v>200.12100000000001</v>
      </c>
    </row>
    <row r="1748" spans="1:9" ht="15" customHeight="1" x14ac:dyDescent="0.15">
      <c r="A1748" s="6"/>
      <c r="D1748" t="s">
        <v>90</v>
      </c>
      <c r="E1748" t="str">
        <f>E1384&amp;".363"</f>
        <v>16.363</v>
      </c>
      <c r="F1748" t="s">
        <v>2946</v>
      </c>
      <c r="G1748" t="s">
        <v>1980</v>
      </c>
      <c r="I1748">
        <v>198.19200000000001</v>
      </c>
    </row>
    <row r="1749" spans="1:9" ht="15" customHeight="1" x14ac:dyDescent="0.15">
      <c r="A1749" s="6"/>
      <c r="D1749" t="s">
        <v>90</v>
      </c>
      <c r="E1749" t="str">
        <f>E1384&amp;".364"</f>
        <v>16.364</v>
      </c>
      <c r="F1749" t="s">
        <v>2947</v>
      </c>
      <c r="G1749" t="s">
        <v>1980</v>
      </c>
      <c r="I1749">
        <v>210.27600000000001</v>
      </c>
    </row>
    <row r="1750" spans="1:9" ht="15" customHeight="1" x14ac:dyDescent="0.15">
      <c r="A1750" s="6"/>
      <c r="D1750" t="s">
        <v>90</v>
      </c>
      <c r="E1750" t="str">
        <f>E1384&amp;".365"</f>
        <v>16.365</v>
      </c>
      <c r="F1750" t="s">
        <v>2948</v>
      </c>
      <c r="G1750" t="s">
        <v>1980</v>
      </c>
      <c r="I1750">
        <v>196.03800000000001</v>
      </c>
    </row>
    <row r="1751" spans="1:9" ht="15" customHeight="1" x14ac:dyDescent="0.15">
      <c r="A1751" s="6"/>
      <c r="D1751" t="s">
        <v>90</v>
      </c>
      <c r="E1751" t="str">
        <f>E1384&amp;".366"</f>
        <v>16.366</v>
      </c>
      <c r="F1751" t="s">
        <v>2949</v>
      </c>
      <c r="G1751" t="s">
        <v>1980</v>
      </c>
      <c r="I1751">
        <v>188.57900000000001</v>
      </c>
    </row>
    <row r="1752" spans="1:9" ht="15" customHeight="1" x14ac:dyDescent="0.15">
      <c r="A1752" s="6"/>
      <c r="D1752" t="s">
        <v>90</v>
      </c>
      <c r="E1752" t="str">
        <f>E1384&amp;".367"</f>
        <v>16.367</v>
      </c>
      <c r="F1752" t="s">
        <v>2950</v>
      </c>
      <c r="G1752" t="s">
        <v>1980</v>
      </c>
      <c r="I1752">
        <v>190.042</v>
      </c>
    </row>
    <row r="1753" spans="1:9" ht="15" customHeight="1" x14ac:dyDescent="0.15">
      <c r="A1753" s="6"/>
      <c r="D1753" t="s">
        <v>90</v>
      </c>
      <c r="E1753" t="str">
        <f>E1384&amp;".368"</f>
        <v>16.368</v>
      </c>
      <c r="F1753" t="s">
        <v>2951</v>
      </c>
      <c r="G1753" t="s">
        <v>1980</v>
      </c>
      <c r="I1753">
        <v>163.583</v>
      </c>
    </row>
    <row r="1754" spans="1:9" ht="15" customHeight="1" x14ac:dyDescent="0.15">
      <c r="A1754" s="6"/>
      <c r="D1754" t="s">
        <v>90</v>
      </c>
      <c r="E1754" t="str">
        <f>E1384&amp;".369"</f>
        <v>16.369</v>
      </c>
      <c r="F1754" t="s">
        <v>2952</v>
      </c>
      <c r="G1754" t="s">
        <v>1980</v>
      </c>
      <c r="I1754">
        <v>212.637</v>
      </c>
    </row>
    <row r="1755" spans="1:9" ht="15" customHeight="1" x14ac:dyDescent="0.15">
      <c r="A1755" s="6"/>
      <c r="D1755" t="s">
        <v>90</v>
      </c>
      <c r="E1755" t="str">
        <f>E1384&amp;".370"</f>
        <v>16.370</v>
      </c>
      <c r="F1755" t="s">
        <v>2953</v>
      </c>
      <c r="G1755" t="s">
        <v>1980</v>
      </c>
      <c r="I1755">
        <v>224.292</v>
      </c>
    </row>
    <row r="1756" spans="1:9" ht="15" customHeight="1" x14ac:dyDescent="0.15">
      <c r="A1756" s="6"/>
      <c r="D1756" t="s">
        <v>90</v>
      </c>
      <c r="E1756" t="str">
        <f>E1384&amp;".371"</f>
        <v>16.371</v>
      </c>
      <c r="F1756" t="s">
        <v>2954</v>
      </c>
      <c r="G1756" t="s">
        <v>1980</v>
      </c>
      <c r="I1756">
        <v>214.48400000000001</v>
      </c>
    </row>
    <row r="1757" spans="1:9" ht="15" customHeight="1" x14ac:dyDescent="0.15">
      <c r="A1757" s="6"/>
      <c r="D1757" t="s">
        <v>90</v>
      </c>
      <c r="E1757" t="str">
        <f>E1384&amp;".372"</f>
        <v>16.372</v>
      </c>
      <c r="F1757" t="s">
        <v>2955</v>
      </c>
      <c r="G1757" t="s">
        <v>1980</v>
      </c>
      <c r="I1757">
        <v>166.15799999999999</v>
      </c>
    </row>
    <row r="1758" spans="1:9" ht="15" customHeight="1" x14ac:dyDescent="0.15">
      <c r="A1758" s="6"/>
      <c r="D1758" t="s">
        <v>90</v>
      </c>
      <c r="E1758" t="str">
        <f>E1384&amp;".373"</f>
        <v>16.373</v>
      </c>
      <c r="F1758" t="s">
        <v>2956</v>
      </c>
      <c r="G1758" t="s">
        <v>1980</v>
      </c>
      <c r="I1758">
        <v>206.35300000000001</v>
      </c>
    </row>
    <row r="1759" spans="1:9" ht="15" customHeight="1" x14ac:dyDescent="0.15">
      <c r="A1759" s="6"/>
      <c r="D1759" t="s">
        <v>90</v>
      </c>
      <c r="E1759" t="str">
        <f>E1384&amp;".374"</f>
        <v>16.374</v>
      </c>
      <c r="F1759" t="s">
        <v>2957</v>
      </c>
      <c r="G1759" t="s">
        <v>1980</v>
      </c>
      <c r="I1759">
        <v>219.935</v>
      </c>
    </row>
    <row r="1760" spans="1:9" ht="15" customHeight="1" x14ac:dyDescent="0.15">
      <c r="A1760" s="6"/>
      <c r="D1760" t="s">
        <v>90</v>
      </c>
      <c r="E1760" t="str">
        <f>E1384&amp;".375"</f>
        <v>16.375</v>
      </c>
      <c r="F1760" t="s">
        <v>2958</v>
      </c>
      <c r="G1760" t="s">
        <v>1980</v>
      </c>
      <c r="I1760">
        <v>194.32499999999999</v>
      </c>
    </row>
    <row r="1761" spans="1:9" ht="15" customHeight="1" x14ac:dyDescent="0.15">
      <c r="A1761" s="6"/>
      <c r="D1761" t="s">
        <v>90</v>
      </c>
      <c r="E1761" t="str">
        <f>E1384&amp;".376"</f>
        <v>16.376</v>
      </c>
      <c r="F1761" t="s">
        <v>2959</v>
      </c>
      <c r="G1761" t="s">
        <v>1980</v>
      </c>
      <c r="I1761">
        <v>209.96899999999999</v>
      </c>
    </row>
    <row r="1762" spans="1:9" ht="15" customHeight="1" x14ac:dyDescent="0.15">
      <c r="A1762" s="6"/>
      <c r="D1762" t="s">
        <v>90</v>
      </c>
      <c r="E1762" t="str">
        <f>E1384&amp;".377"</f>
        <v>16.377</v>
      </c>
      <c r="F1762" t="s">
        <v>2960</v>
      </c>
      <c r="G1762" t="s">
        <v>1980</v>
      </c>
      <c r="I1762">
        <v>192.595</v>
      </c>
    </row>
    <row r="1763" spans="1:9" ht="15" customHeight="1" x14ac:dyDescent="0.15">
      <c r="A1763" s="6"/>
      <c r="D1763" t="s">
        <v>90</v>
      </c>
      <c r="E1763" t="str">
        <f>E1384&amp;".378"</f>
        <v>16.378</v>
      </c>
      <c r="F1763" t="s">
        <v>2961</v>
      </c>
      <c r="G1763" t="s">
        <v>1980</v>
      </c>
      <c r="I1763">
        <v>194.33099999999999</v>
      </c>
    </row>
    <row r="1764" spans="1:9" ht="15" customHeight="1" x14ac:dyDescent="0.15">
      <c r="A1764" s="6"/>
      <c r="D1764" t="s">
        <v>90</v>
      </c>
      <c r="E1764" t="str">
        <f>E1384&amp;".379"</f>
        <v>16.379</v>
      </c>
      <c r="F1764" t="s">
        <v>2962</v>
      </c>
      <c r="G1764" t="s">
        <v>1980</v>
      </c>
      <c r="I1764">
        <v>237.96700000000001</v>
      </c>
    </row>
    <row r="1765" spans="1:9" ht="15" customHeight="1" x14ac:dyDescent="0.15">
      <c r="A1765" s="6"/>
      <c r="D1765" t="s">
        <v>90</v>
      </c>
      <c r="E1765" t="str">
        <f>E1384&amp;".380"</f>
        <v>16.380</v>
      </c>
      <c r="F1765" t="s">
        <v>2963</v>
      </c>
      <c r="G1765" t="s">
        <v>1980</v>
      </c>
      <c r="I1765">
        <v>210.095</v>
      </c>
    </row>
    <row r="1766" spans="1:9" ht="15" customHeight="1" x14ac:dyDescent="0.15">
      <c r="A1766" s="6"/>
      <c r="D1766" t="s">
        <v>90</v>
      </c>
      <c r="E1766" t="str">
        <f>E1384&amp;".381"</f>
        <v>16.381</v>
      </c>
      <c r="F1766" t="s">
        <v>2964</v>
      </c>
      <c r="G1766" t="s">
        <v>1980</v>
      </c>
      <c r="I1766">
        <v>209.92599999999999</v>
      </c>
    </row>
    <row r="1767" spans="1:9" ht="15" customHeight="1" x14ac:dyDescent="0.15">
      <c r="A1767" s="6"/>
      <c r="D1767" t="s">
        <v>90</v>
      </c>
      <c r="E1767" t="str">
        <f>E1384&amp;".382"</f>
        <v>16.382</v>
      </c>
      <c r="F1767" t="s">
        <v>2965</v>
      </c>
      <c r="G1767" t="s">
        <v>1980</v>
      </c>
      <c r="I1767">
        <v>206.09200000000001</v>
      </c>
    </row>
    <row r="1768" spans="1:9" ht="15" customHeight="1" x14ac:dyDescent="0.15">
      <c r="A1768" s="6"/>
      <c r="D1768" t="s">
        <v>90</v>
      </c>
      <c r="E1768" t="str">
        <f>E1384&amp;".383"</f>
        <v>16.383</v>
      </c>
      <c r="F1768" t="s">
        <v>2966</v>
      </c>
      <c r="G1768" t="s">
        <v>1980</v>
      </c>
      <c r="I1768">
        <v>208.66200000000001</v>
      </c>
    </row>
    <row r="1769" spans="1:9" ht="15" customHeight="1" x14ac:dyDescent="0.15">
      <c r="A1769" s="6"/>
      <c r="D1769" t="s">
        <v>90</v>
      </c>
      <c r="E1769" t="str">
        <f>E1384&amp;".384"</f>
        <v>16.384</v>
      </c>
      <c r="F1769" t="s">
        <v>2967</v>
      </c>
      <c r="G1769" t="s">
        <v>1980</v>
      </c>
      <c r="I1769">
        <v>210</v>
      </c>
    </row>
    <row r="1770" spans="1:9" ht="15" customHeight="1" x14ac:dyDescent="0.15">
      <c r="A1770" s="6"/>
      <c r="D1770" t="s">
        <v>90</v>
      </c>
      <c r="E1770" t="str">
        <f>E1384&amp;".385"</f>
        <v>16.385</v>
      </c>
      <c r="F1770" t="s">
        <v>2968</v>
      </c>
      <c r="G1770" t="s">
        <v>1980</v>
      </c>
      <c r="I1770">
        <v>206.12</v>
      </c>
    </row>
    <row r="1771" spans="1:9" ht="15" customHeight="1" x14ac:dyDescent="0.15">
      <c r="A1771" s="6"/>
      <c r="D1771" t="s">
        <v>90</v>
      </c>
      <c r="E1771" t="str">
        <f>E1384&amp;".386"</f>
        <v>16.386</v>
      </c>
      <c r="F1771" t="s">
        <v>2969</v>
      </c>
      <c r="G1771" t="s">
        <v>1980</v>
      </c>
      <c r="I1771">
        <v>209.87100000000001</v>
      </c>
    </row>
    <row r="1772" spans="1:9" ht="15" customHeight="1" x14ac:dyDescent="0.15">
      <c r="A1772" s="6"/>
      <c r="D1772" t="s">
        <v>90</v>
      </c>
      <c r="E1772" t="str">
        <f>E1384&amp;".387"</f>
        <v>16.387</v>
      </c>
      <c r="F1772" t="s">
        <v>2970</v>
      </c>
      <c r="G1772" t="s">
        <v>1980</v>
      </c>
      <c r="I1772">
        <v>210</v>
      </c>
    </row>
    <row r="1773" spans="1:9" ht="15" customHeight="1" x14ac:dyDescent="0.15">
      <c r="A1773" s="6"/>
      <c r="D1773" t="s">
        <v>90</v>
      </c>
      <c r="E1773" t="str">
        <f>E1384&amp;".388"</f>
        <v>16.388</v>
      </c>
      <c r="F1773" t="s">
        <v>2971</v>
      </c>
      <c r="G1773" t="s">
        <v>1980</v>
      </c>
      <c r="I1773">
        <v>248.72300000000001</v>
      </c>
    </row>
    <row r="1774" spans="1:9" ht="15" customHeight="1" x14ac:dyDescent="0.15">
      <c r="A1774" s="6"/>
      <c r="D1774" t="s">
        <v>90</v>
      </c>
      <c r="E1774" t="str">
        <f>E1384&amp;".389"</f>
        <v>16.389</v>
      </c>
      <c r="F1774" t="s">
        <v>2972</v>
      </c>
      <c r="G1774" t="s">
        <v>1980</v>
      </c>
      <c r="I1774">
        <v>207.05699999999999</v>
      </c>
    </row>
    <row r="1775" spans="1:9" ht="15" customHeight="1" x14ac:dyDescent="0.15">
      <c r="A1775" s="6"/>
      <c r="D1775" t="s">
        <v>90</v>
      </c>
      <c r="E1775" t="str">
        <f>E1384&amp;".390"</f>
        <v>16.390</v>
      </c>
      <c r="F1775" t="s">
        <v>2973</v>
      </c>
      <c r="G1775" t="s">
        <v>1980</v>
      </c>
      <c r="I1775">
        <v>219.405</v>
      </c>
    </row>
    <row r="1776" spans="1:9" ht="15" customHeight="1" x14ac:dyDescent="0.15">
      <c r="A1776" s="6"/>
      <c r="D1776" t="s">
        <v>90</v>
      </c>
      <c r="E1776" t="str">
        <f>E1384&amp;".391"</f>
        <v>16.391</v>
      </c>
      <c r="F1776" t="s">
        <v>2974</v>
      </c>
      <c r="G1776" t="s">
        <v>1980</v>
      </c>
      <c r="I1776">
        <v>172.64500000000001</v>
      </c>
    </row>
    <row r="1777" spans="1:9" ht="15" customHeight="1" x14ac:dyDescent="0.15">
      <c r="A1777" s="6"/>
      <c r="D1777" t="s">
        <v>90</v>
      </c>
      <c r="E1777" t="str">
        <f>E1384&amp;".392"</f>
        <v>16.392</v>
      </c>
      <c r="F1777" t="s">
        <v>2975</v>
      </c>
      <c r="G1777" t="s">
        <v>1980</v>
      </c>
      <c r="I1777">
        <v>158.59100000000001</v>
      </c>
    </row>
    <row r="1778" spans="1:9" ht="15" customHeight="1" x14ac:dyDescent="0.15">
      <c r="A1778" s="6"/>
      <c r="D1778" t="s">
        <v>90</v>
      </c>
      <c r="E1778" t="str">
        <f>E1384&amp;".393"</f>
        <v>16.393</v>
      </c>
      <c r="F1778" t="s">
        <v>2976</v>
      </c>
      <c r="G1778" t="s">
        <v>1980</v>
      </c>
      <c r="I1778">
        <v>186.167</v>
      </c>
    </row>
    <row r="1779" spans="1:9" ht="15" customHeight="1" x14ac:dyDescent="0.15">
      <c r="A1779" s="6"/>
      <c r="D1779" t="s">
        <v>90</v>
      </c>
      <c r="E1779" t="str">
        <f>E1384&amp;".394"</f>
        <v>16.394</v>
      </c>
      <c r="F1779" t="s">
        <v>2977</v>
      </c>
      <c r="G1779" t="s">
        <v>1980</v>
      </c>
      <c r="I1779">
        <v>191.82300000000001</v>
      </c>
    </row>
    <row r="1780" spans="1:9" ht="15" customHeight="1" x14ac:dyDescent="0.15">
      <c r="A1780" s="6"/>
      <c r="D1780" t="s">
        <v>90</v>
      </c>
      <c r="E1780" t="str">
        <f>E1384&amp;".395"</f>
        <v>16.395</v>
      </c>
      <c r="F1780" t="s">
        <v>2978</v>
      </c>
      <c r="G1780" t="s">
        <v>1980</v>
      </c>
      <c r="I1780">
        <v>276.42</v>
      </c>
    </row>
    <row r="1781" spans="1:9" ht="15" customHeight="1" x14ac:dyDescent="0.15">
      <c r="A1781" s="6"/>
      <c r="D1781" t="s">
        <v>90</v>
      </c>
      <c r="E1781" t="str">
        <f>E1384&amp;".396"</f>
        <v>16.396</v>
      </c>
      <c r="F1781" t="s">
        <v>2979</v>
      </c>
      <c r="G1781" t="s">
        <v>1980</v>
      </c>
      <c r="I1781">
        <v>231.113</v>
      </c>
    </row>
    <row r="1782" spans="1:9" ht="15" customHeight="1" x14ac:dyDescent="0.15">
      <c r="A1782" s="6"/>
      <c r="D1782" t="s">
        <v>90</v>
      </c>
      <c r="E1782" t="str">
        <f>E1384&amp;".397"</f>
        <v>16.397</v>
      </c>
      <c r="F1782" t="s">
        <v>2980</v>
      </c>
      <c r="G1782" t="s">
        <v>1980</v>
      </c>
      <c r="I1782">
        <v>249.25200000000001</v>
      </c>
    </row>
    <row r="1783" spans="1:9" ht="15" customHeight="1" x14ac:dyDescent="0.15">
      <c r="A1783" s="6"/>
      <c r="D1783" t="s">
        <v>90</v>
      </c>
      <c r="E1783" t="str">
        <f>E1384&amp;".398"</f>
        <v>16.398</v>
      </c>
      <c r="F1783" t="s">
        <v>2981</v>
      </c>
      <c r="G1783" t="s">
        <v>1980</v>
      </c>
      <c r="I1783">
        <v>215.34299999999999</v>
      </c>
    </row>
    <row r="1784" spans="1:9" ht="15" customHeight="1" x14ac:dyDescent="0.15">
      <c r="A1784" s="6"/>
      <c r="D1784" t="s">
        <v>90</v>
      </c>
      <c r="E1784" t="str">
        <f>E1384&amp;".399"</f>
        <v>16.399</v>
      </c>
      <c r="F1784" t="s">
        <v>2982</v>
      </c>
      <c r="G1784" t="s">
        <v>1980</v>
      </c>
      <c r="I1784">
        <v>231.708</v>
      </c>
    </row>
    <row r="1785" spans="1:9" ht="15" customHeight="1" x14ac:dyDescent="0.15">
      <c r="A1785" s="6"/>
      <c r="D1785" t="s">
        <v>90</v>
      </c>
      <c r="E1785" t="str">
        <f>E1384&amp;".400"</f>
        <v>16.400</v>
      </c>
      <c r="F1785" t="s">
        <v>2983</v>
      </c>
      <c r="G1785" t="s">
        <v>1980</v>
      </c>
      <c r="I1785">
        <v>231.12</v>
      </c>
    </row>
    <row r="1786" spans="1:9" ht="15" customHeight="1" x14ac:dyDescent="0.15">
      <c r="A1786" s="6"/>
      <c r="D1786" t="s">
        <v>90</v>
      </c>
      <c r="E1786" t="str">
        <f>E1384&amp;".401"</f>
        <v>16.401</v>
      </c>
      <c r="F1786" t="s">
        <v>2984</v>
      </c>
      <c r="G1786" t="s">
        <v>1980</v>
      </c>
      <c r="I1786">
        <v>189.78299999999999</v>
      </c>
    </row>
    <row r="1787" spans="1:9" ht="15" customHeight="1" x14ac:dyDescent="0.15">
      <c r="A1787" s="6"/>
      <c r="D1787" t="s">
        <v>90</v>
      </c>
      <c r="E1787" t="str">
        <f>E1384&amp;".402"</f>
        <v>16.402</v>
      </c>
      <c r="F1787" t="s">
        <v>2985</v>
      </c>
      <c r="G1787" t="s">
        <v>1980</v>
      </c>
      <c r="I1787">
        <v>274.55799999999999</v>
      </c>
    </row>
    <row r="1788" spans="1:9" ht="15" customHeight="1" x14ac:dyDescent="0.15">
      <c r="A1788" s="6"/>
      <c r="D1788" t="s">
        <v>90</v>
      </c>
      <c r="E1788" t="str">
        <f>E1384&amp;".403"</f>
        <v>16.403</v>
      </c>
      <c r="F1788" t="s">
        <v>2986</v>
      </c>
      <c r="G1788" t="s">
        <v>1980</v>
      </c>
      <c r="I1788">
        <v>231.55199999999999</v>
      </c>
    </row>
    <row r="1789" spans="1:9" ht="15" customHeight="1" x14ac:dyDescent="0.15">
      <c r="A1789" s="6"/>
      <c r="D1789" t="s">
        <v>90</v>
      </c>
      <c r="E1789" t="str">
        <f>E1384&amp;".404"</f>
        <v>16.404</v>
      </c>
      <c r="F1789" t="s">
        <v>2987</v>
      </c>
      <c r="G1789" t="s">
        <v>1980</v>
      </c>
      <c r="I1789">
        <v>256.21600000000001</v>
      </c>
    </row>
    <row r="1790" spans="1:9" ht="15" customHeight="1" x14ac:dyDescent="0.15">
      <c r="A1790" s="6"/>
      <c r="D1790" t="s">
        <v>90</v>
      </c>
      <c r="E1790" t="str">
        <f>E1384&amp;".405"</f>
        <v>16.405</v>
      </c>
      <c r="F1790" t="s">
        <v>2988</v>
      </c>
      <c r="G1790" t="s">
        <v>1980</v>
      </c>
      <c r="I1790">
        <v>190</v>
      </c>
    </row>
    <row r="1791" spans="1:9" ht="15" customHeight="1" x14ac:dyDescent="0.15">
      <c r="A1791" s="6"/>
      <c r="D1791" t="s">
        <v>90</v>
      </c>
      <c r="E1791" t="str">
        <f>E1384&amp;".406"</f>
        <v>16.406</v>
      </c>
      <c r="F1791" t="s">
        <v>2989</v>
      </c>
      <c r="G1791" t="s">
        <v>1980</v>
      </c>
      <c r="I1791">
        <v>251.26300000000001</v>
      </c>
    </row>
    <row r="1792" spans="1:9" ht="15" customHeight="1" x14ac:dyDescent="0.15">
      <c r="A1792" s="6"/>
      <c r="D1792" t="s">
        <v>90</v>
      </c>
      <c r="E1792" t="str">
        <f>E1384&amp;".407"</f>
        <v>16.407</v>
      </c>
      <c r="F1792" t="s">
        <v>2990</v>
      </c>
      <c r="G1792" t="s">
        <v>1980</v>
      </c>
      <c r="I1792">
        <v>205.381</v>
      </c>
    </row>
    <row r="1793" spans="1:9" ht="15" customHeight="1" x14ac:dyDescent="0.15">
      <c r="A1793" s="6"/>
      <c r="D1793" t="s">
        <v>90</v>
      </c>
      <c r="E1793" t="str">
        <f>E1384&amp;".408"</f>
        <v>16.408</v>
      </c>
      <c r="F1793" t="s">
        <v>2991</v>
      </c>
      <c r="G1793" t="s">
        <v>1980</v>
      </c>
      <c r="I1793">
        <v>195.43700000000001</v>
      </c>
    </row>
    <row r="1794" spans="1:9" ht="15" customHeight="1" x14ac:dyDescent="0.15">
      <c r="A1794" s="6"/>
      <c r="D1794" t="s">
        <v>90</v>
      </c>
      <c r="E1794" t="str">
        <f>E1384&amp;".409"</f>
        <v>16.409</v>
      </c>
      <c r="F1794" t="s">
        <v>2992</v>
      </c>
      <c r="G1794" t="s">
        <v>1980</v>
      </c>
      <c r="I1794">
        <v>241.42500000000001</v>
      </c>
    </row>
    <row r="1795" spans="1:9" ht="15" customHeight="1" x14ac:dyDescent="0.15">
      <c r="A1795" s="6"/>
      <c r="D1795" t="s">
        <v>90</v>
      </c>
      <c r="E1795" t="str">
        <f>E1384&amp;".410"</f>
        <v>16.410</v>
      </c>
      <c r="F1795" t="s">
        <v>2993</v>
      </c>
      <c r="G1795" t="s">
        <v>1980</v>
      </c>
      <c r="I1795">
        <v>211.023</v>
      </c>
    </row>
    <row r="1796" spans="1:9" ht="15" customHeight="1" x14ac:dyDescent="0.15">
      <c r="A1796" s="6"/>
      <c r="D1796" t="s">
        <v>90</v>
      </c>
      <c r="E1796" t="str">
        <f>E1384&amp;".411"</f>
        <v>16.411</v>
      </c>
      <c r="F1796" t="s">
        <v>2994</v>
      </c>
      <c r="G1796" t="s">
        <v>1980</v>
      </c>
      <c r="I1796">
        <v>219.78</v>
      </c>
    </row>
    <row r="1797" spans="1:9" ht="15" customHeight="1" x14ac:dyDescent="0.15">
      <c r="A1797" s="6"/>
      <c r="D1797" t="s">
        <v>90</v>
      </c>
      <c r="E1797" t="str">
        <f>E1384&amp;".412"</f>
        <v>16.412</v>
      </c>
      <c r="F1797" t="s">
        <v>2995</v>
      </c>
      <c r="G1797" t="s">
        <v>1980</v>
      </c>
      <c r="I1797">
        <v>212.333</v>
      </c>
    </row>
    <row r="1798" spans="1:9" ht="15" customHeight="1" x14ac:dyDescent="0.15">
      <c r="A1798" s="6"/>
      <c r="D1798" t="s">
        <v>90</v>
      </c>
      <c r="E1798" t="str">
        <f>E1384&amp;".413"</f>
        <v>16.413</v>
      </c>
      <c r="F1798" t="s">
        <v>2996</v>
      </c>
      <c r="G1798" t="s">
        <v>1980</v>
      </c>
      <c r="I1798">
        <v>212.67099999999999</v>
      </c>
    </row>
    <row r="1799" spans="1:9" ht="15" customHeight="1" x14ac:dyDescent="0.15">
      <c r="A1799" s="6"/>
      <c r="D1799" t="s">
        <v>90</v>
      </c>
      <c r="E1799" t="str">
        <f>E1384&amp;".414"</f>
        <v>16.414</v>
      </c>
      <c r="F1799" t="s">
        <v>2997</v>
      </c>
      <c r="G1799" t="s">
        <v>1980</v>
      </c>
      <c r="I1799">
        <v>224.334</v>
      </c>
    </row>
    <row r="1800" spans="1:9" ht="15" customHeight="1" x14ac:dyDescent="0.15">
      <c r="A1800" s="6"/>
      <c r="D1800" t="s">
        <v>90</v>
      </c>
      <c r="E1800" t="str">
        <f>E1384&amp;".415"</f>
        <v>16.415</v>
      </c>
      <c r="F1800" t="s">
        <v>2998</v>
      </c>
      <c r="G1800" t="s">
        <v>1980</v>
      </c>
      <c r="I1800">
        <v>237.952</v>
      </c>
    </row>
    <row r="1801" spans="1:9" ht="15" customHeight="1" x14ac:dyDescent="0.15">
      <c r="A1801" s="6"/>
      <c r="D1801" t="s">
        <v>90</v>
      </c>
      <c r="E1801" t="str">
        <f>E1384&amp;".416"</f>
        <v>16.416</v>
      </c>
      <c r="F1801" t="s">
        <v>2999</v>
      </c>
      <c r="G1801" t="s">
        <v>1980</v>
      </c>
      <c r="I1801">
        <v>209.81899999999999</v>
      </c>
    </row>
    <row r="1802" spans="1:9" ht="15" customHeight="1" x14ac:dyDescent="0.15">
      <c r="A1802" s="6"/>
      <c r="D1802" t="s">
        <v>90</v>
      </c>
      <c r="E1802" t="str">
        <f>E1384&amp;".417"</f>
        <v>16.417</v>
      </c>
      <c r="F1802" t="s">
        <v>3000</v>
      </c>
      <c r="G1802" t="s">
        <v>1980</v>
      </c>
      <c r="I1802">
        <v>172.672</v>
      </c>
    </row>
    <row r="1803" spans="1:9" ht="15" customHeight="1" x14ac:dyDescent="0.15">
      <c r="A1803" s="6"/>
      <c r="D1803" t="s">
        <v>90</v>
      </c>
      <c r="E1803" t="str">
        <f>E1384&amp;".418"</f>
        <v>16.418</v>
      </c>
      <c r="F1803" t="s">
        <v>3001</v>
      </c>
      <c r="G1803" t="s">
        <v>1980</v>
      </c>
      <c r="I1803">
        <v>173.97300000000001</v>
      </c>
    </row>
    <row r="1804" spans="1:9" ht="15" customHeight="1" x14ac:dyDescent="0.15">
      <c r="A1804" s="6"/>
      <c r="D1804" t="s">
        <v>90</v>
      </c>
      <c r="E1804" t="str">
        <f>E1384&amp;".419"</f>
        <v>16.419</v>
      </c>
      <c r="F1804" t="s">
        <v>3002</v>
      </c>
      <c r="G1804" t="s">
        <v>1980</v>
      </c>
      <c r="I1804">
        <v>283.66199999999998</v>
      </c>
    </row>
    <row r="1805" spans="1:9" ht="15" customHeight="1" x14ac:dyDescent="0.15">
      <c r="A1805" s="6"/>
      <c r="D1805" t="s">
        <v>90</v>
      </c>
      <c r="E1805" t="str">
        <f>E1384&amp;".420"</f>
        <v>16.420</v>
      </c>
      <c r="F1805" t="s">
        <v>3003</v>
      </c>
      <c r="G1805" t="s">
        <v>1980</v>
      </c>
      <c r="I1805">
        <v>208.84100000000001</v>
      </c>
    </row>
    <row r="1806" spans="1:9" ht="15" customHeight="1" x14ac:dyDescent="0.15">
      <c r="A1806" s="6"/>
      <c r="D1806" t="s">
        <v>90</v>
      </c>
      <c r="E1806" t="str">
        <f>E1384&amp;".421"</f>
        <v>16.421</v>
      </c>
      <c r="F1806" t="s">
        <v>3004</v>
      </c>
      <c r="G1806" t="s">
        <v>1980</v>
      </c>
      <c r="I1806">
        <v>211.07300000000001</v>
      </c>
    </row>
    <row r="1807" spans="1:9" ht="15" customHeight="1" x14ac:dyDescent="0.15">
      <c r="A1807" s="6"/>
      <c r="D1807" t="s">
        <v>90</v>
      </c>
      <c r="E1807" t="str">
        <f>E1384&amp;".422"</f>
        <v>16.422</v>
      </c>
      <c r="F1807" t="s">
        <v>3005</v>
      </c>
      <c r="G1807" t="s">
        <v>1980</v>
      </c>
      <c r="I1807">
        <v>219.988</v>
      </c>
    </row>
    <row r="1808" spans="1:9" ht="15" customHeight="1" x14ac:dyDescent="0.15">
      <c r="A1808" s="6"/>
      <c r="D1808" t="s">
        <v>90</v>
      </c>
      <c r="E1808" t="str">
        <f>E1384&amp;".423"</f>
        <v>16.423</v>
      </c>
      <c r="F1808" t="s">
        <v>3006</v>
      </c>
      <c r="G1808" t="s">
        <v>1980</v>
      </c>
      <c r="I1808">
        <v>241.43299999999999</v>
      </c>
    </row>
    <row r="1809" spans="1:9" ht="15" customHeight="1" x14ac:dyDescent="0.15">
      <c r="A1809" s="6"/>
      <c r="D1809" t="s">
        <v>90</v>
      </c>
      <c r="E1809" t="str">
        <f>E1384&amp;".424"</f>
        <v>16.424</v>
      </c>
      <c r="F1809" t="s">
        <v>3007</v>
      </c>
      <c r="G1809" t="s">
        <v>1980</v>
      </c>
      <c r="I1809">
        <v>201.86799999999999</v>
      </c>
    </row>
    <row r="1810" spans="1:9" ht="15" customHeight="1" x14ac:dyDescent="0.15">
      <c r="A1810" s="6"/>
      <c r="D1810" t="s">
        <v>90</v>
      </c>
      <c r="E1810" t="str">
        <f>E1384&amp;".425"</f>
        <v>16.425</v>
      </c>
      <c r="F1810" t="s">
        <v>3008</v>
      </c>
      <c r="G1810" t="s">
        <v>1980</v>
      </c>
      <c r="I1810">
        <v>216.18100000000001</v>
      </c>
    </row>
    <row r="1811" spans="1:9" ht="15" customHeight="1" x14ac:dyDescent="0.15">
      <c r="A1811" s="6"/>
      <c r="D1811" t="s">
        <v>90</v>
      </c>
      <c r="E1811" t="str">
        <f>E1384&amp;".426"</f>
        <v>16.426</v>
      </c>
      <c r="F1811" t="s">
        <v>3009</v>
      </c>
      <c r="G1811" t="s">
        <v>1980</v>
      </c>
      <c r="I1811">
        <v>209.76</v>
      </c>
    </row>
    <row r="1812" spans="1:9" ht="15" customHeight="1" x14ac:dyDescent="0.15">
      <c r="A1812" s="6"/>
      <c r="D1812" t="s">
        <v>90</v>
      </c>
      <c r="E1812" t="str">
        <f>E1384&amp;".427"</f>
        <v>16.427</v>
      </c>
      <c r="F1812" t="s">
        <v>3010</v>
      </c>
      <c r="G1812" t="s">
        <v>1980</v>
      </c>
      <c r="I1812">
        <v>210</v>
      </c>
    </row>
    <row r="1813" spans="1:9" ht="15" customHeight="1" x14ac:dyDescent="0.15">
      <c r="A1813" s="6"/>
      <c r="D1813" t="s">
        <v>90</v>
      </c>
      <c r="E1813" t="str">
        <f>E1384&amp;".428"</f>
        <v>16.428</v>
      </c>
      <c r="F1813" t="s">
        <v>3011</v>
      </c>
      <c r="G1813" t="s">
        <v>1980</v>
      </c>
      <c r="I1813">
        <v>210</v>
      </c>
    </row>
    <row r="1814" spans="1:9" ht="15" customHeight="1" x14ac:dyDescent="0.15">
      <c r="A1814" s="6"/>
      <c r="D1814" t="s">
        <v>90</v>
      </c>
      <c r="E1814" t="str">
        <f>E1384&amp;".429"</f>
        <v>16.429</v>
      </c>
      <c r="F1814" t="s">
        <v>3012</v>
      </c>
      <c r="G1814" t="s">
        <v>1980</v>
      </c>
      <c r="I1814">
        <v>210</v>
      </c>
    </row>
    <row r="1815" spans="1:9" ht="15" customHeight="1" x14ac:dyDescent="0.15">
      <c r="A1815" s="6"/>
      <c r="D1815" t="s">
        <v>90</v>
      </c>
      <c r="E1815" t="str">
        <f>E1384&amp;".430"</f>
        <v>16.430</v>
      </c>
      <c r="F1815" t="s">
        <v>3013</v>
      </c>
      <c r="G1815" t="s">
        <v>1980</v>
      </c>
      <c r="I1815">
        <v>210</v>
      </c>
    </row>
    <row r="1816" spans="1:9" ht="15" customHeight="1" x14ac:dyDescent="0.15">
      <c r="A1816" s="6"/>
      <c r="D1816" t="s">
        <v>90</v>
      </c>
      <c r="E1816" t="str">
        <f>E1384&amp;".431"</f>
        <v>16.431</v>
      </c>
      <c r="F1816" t="s">
        <v>3014</v>
      </c>
      <c r="G1816" t="s">
        <v>1980</v>
      </c>
      <c r="I1816">
        <v>210</v>
      </c>
    </row>
    <row r="1817" spans="1:9" ht="15" customHeight="1" x14ac:dyDescent="0.15">
      <c r="A1817" s="6"/>
      <c r="D1817" t="s">
        <v>90</v>
      </c>
      <c r="E1817" t="str">
        <f>E1384&amp;".432"</f>
        <v>16.432</v>
      </c>
      <c r="F1817" t="s">
        <v>3015</v>
      </c>
      <c r="G1817" t="s">
        <v>1980</v>
      </c>
      <c r="I1817">
        <v>235</v>
      </c>
    </row>
    <row r="1818" spans="1:9" ht="15" customHeight="1" x14ac:dyDescent="0.15">
      <c r="A1818" s="6"/>
      <c r="D1818" t="s">
        <v>90</v>
      </c>
      <c r="E1818" t="str">
        <f>E1384&amp;".433"</f>
        <v>16.433</v>
      </c>
      <c r="F1818" t="s">
        <v>3016</v>
      </c>
      <c r="G1818" t="s">
        <v>1980</v>
      </c>
      <c r="I1818">
        <v>225.93</v>
      </c>
    </row>
    <row r="1819" spans="1:9" ht="15" customHeight="1" x14ac:dyDescent="0.15">
      <c r="A1819" s="6"/>
      <c r="D1819" t="s">
        <v>90</v>
      </c>
      <c r="E1819" t="str">
        <f>E1384&amp;".434"</f>
        <v>16.434</v>
      </c>
      <c r="F1819" t="s">
        <v>3017</v>
      </c>
      <c r="G1819" t="s">
        <v>1980</v>
      </c>
      <c r="I1819">
        <v>238</v>
      </c>
    </row>
    <row r="1820" spans="1:9" ht="15" customHeight="1" x14ac:dyDescent="0.15">
      <c r="A1820" s="6"/>
      <c r="D1820" t="s">
        <v>90</v>
      </c>
      <c r="E1820" t="str">
        <f>E1384&amp;".435"</f>
        <v>16.435</v>
      </c>
      <c r="F1820" t="s">
        <v>3018</v>
      </c>
      <c r="G1820" t="s">
        <v>1980</v>
      </c>
      <c r="I1820">
        <v>215.69900000000001</v>
      </c>
    </row>
    <row r="1821" spans="1:9" ht="15" customHeight="1" x14ac:dyDescent="0.15">
      <c r="A1821" s="6"/>
      <c r="D1821" t="s">
        <v>90</v>
      </c>
      <c r="E1821" t="str">
        <f>E1384&amp;".436"</f>
        <v>16.436</v>
      </c>
      <c r="F1821" t="s">
        <v>3019</v>
      </c>
      <c r="G1821" t="s">
        <v>1980</v>
      </c>
      <c r="I1821">
        <v>220.61</v>
      </c>
    </row>
    <row r="1822" spans="1:9" ht="15" customHeight="1" x14ac:dyDescent="0.15">
      <c r="A1822" s="6"/>
      <c r="D1822" t="s">
        <v>90</v>
      </c>
      <c r="E1822" t="str">
        <f>E1384&amp;".437"</f>
        <v>16.437</v>
      </c>
      <c r="F1822" t="s">
        <v>3020</v>
      </c>
      <c r="G1822" t="s">
        <v>1980</v>
      </c>
      <c r="I1822">
        <v>235</v>
      </c>
    </row>
    <row r="1823" spans="1:9" ht="15" customHeight="1" x14ac:dyDescent="0.15">
      <c r="A1823" s="6"/>
      <c r="D1823" t="s">
        <v>90</v>
      </c>
      <c r="E1823" t="str">
        <f>E1384&amp;".438"</f>
        <v>16.438</v>
      </c>
      <c r="F1823" t="s">
        <v>3021</v>
      </c>
      <c r="G1823" t="s">
        <v>1980</v>
      </c>
      <c r="I1823">
        <v>210.53700000000001</v>
      </c>
    </row>
    <row r="1824" spans="1:9" ht="15" customHeight="1" x14ac:dyDescent="0.15">
      <c r="A1824" s="6"/>
      <c r="D1824" t="s">
        <v>90</v>
      </c>
      <c r="E1824" t="str">
        <f>E1384&amp;".439"</f>
        <v>16.439</v>
      </c>
      <c r="F1824" t="s">
        <v>3022</v>
      </c>
      <c r="G1824" t="s">
        <v>1980</v>
      </c>
      <c r="I1824">
        <v>212.32300000000001</v>
      </c>
    </row>
    <row r="1825" spans="1:9" ht="15" customHeight="1" x14ac:dyDescent="0.15">
      <c r="A1825" s="6"/>
      <c r="D1825" t="s">
        <v>90</v>
      </c>
      <c r="E1825" t="str">
        <f>E1384&amp;".440"</f>
        <v>16.440</v>
      </c>
      <c r="F1825" t="s">
        <v>3023</v>
      </c>
      <c r="G1825" t="s">
        <v>1980</v>
      </c>
      <c r="I1825">
        <v>211.19900000000001</v>
      </c>
    </row>
    <row r="1826" spans="1:9" ht="15" customHeight="1" x14ac:dyDescent="0.15">
      <c r="A1826" s="6"/>
      <c r="D1826" t="s">
        <v>90</v>
      </c>
      <c r="E1826" t="str">
        <f>E1384&amp;".441"</f>
        <v>16.441</v>
      </c>
      <c r="F1826" t="s">
        <v>3024</v>
      </c>
      <c r="G1826" t="s">
        <v>1980</v>
      </c>
      <c r="I1826">
        <v>205.60499999999999</v>
      </c>
    </row>
    <row r="1827" spans="1:9" ht="15" customHeight="1" x14ac:dyDescent="0.15">
      <c r="A1827" s="6"/>
      <c r="D1827" t="s">
        <v>90</v>
      </c>
      <c r="E1827" t="str">
        <f>E1384&amp;".442"</f>
        <v>16.442</v>
      </c>
      <c r="F1827" t="s">
        <v>3025</v>
      </c>
      <c r="G1827" t="s">
        <v>1980</v>
      </c>
      <c r="I1827">
        <v>201.947</v>
      </c>
    </row>
    <row r="1828" spans="1:9" ht="15" customHeight="1" x14ac:dyDescent="0.15">
      <c r="A1828" s="6"/>
      <c r="D1828" t="s">
        <v>90</v>
      </c>
      <c r="E1828" t="str">
        <f>E1384&amp;".443"</f>
        <v>16.443</v>
      </c>
      <c r="F1828" t="s">
        <v>3026</v>
      </c>
      <c r="G1828" t="s">
        <v>1980</v>
      </c>
      <c r="I1828">
        <v>210.52799999999999</v>
      </c>
    </row>
    <row r="1829" spans="1:9" ht="15" customHeight="1" x14ac:dyDescent="0.15">
      <c r="A1829" s="6"/>
      <c r="D1829" t="s">
        <v>90</v>
      </c>
      <c r="E1829" t="str">
        <f>E1384&amp;".444"</f>
        <v>16.444</v>
      </c>
      <c r="F1829" t="s">
        <v>3027</v>
      </c>
      <c r="G1829" t="s">
        <v>1980</v>
      </c>
      <c r="I1829">
        <v>225.315</v>
      </c>
    </row>
    <row r="1830" spans="1:9" ht="15" customHeight="1" x14ac:dyDescent="0.15">
      <c r="A1830" s="6"/>
      <c r="D1830" t="s">
        <v>90</v>
      </c>
      <c r="E1830" t="str">
        <f>E1384&amp;".445"</f>
        <v>16.445</v>
      </c>
      <c r="F1830" t="s">
        <v>3028</v>
      </c>
      <c r="G1830" t="s">
        <v>1980</v>
      </c>
      <c r="I1830">
        <v>215.709</v>
      </c>
    </row>
    <row r="1831" spans="1:9" ht="15" customHeight="1" x14ac:dyDescent="0.15">
      <c r="A1831" s="6"/>
      <c r="D1831" t="s">
        <v>90</v>
      </c>
      <c r="E1831" t="str">
        <f>E1384&amp;".446"</f>
        <v>16.446</v>
      </c>
      <c r="F1831" t="s">
        <v>3029</v>
      </c>
      <c r="G1831" t="s">
        <v>1980</v>
      </c>
      <c r="I1831">
        <v>191.00800000000001</v>
      </c>
    </row>
    <row r="1832" spans="1:9" ht="15" customHeight="1" x14ac:dyDescent="0.15">
      <c r="A1832" s="6"/>
      <c r="D1832" t="s">
        <v>90</v>
      </c>
      <c r="E1832" t="str">
        <f>E1384&amp;".447"</f>
        <v>16.447</v>
      </c>
      <c r="F1832" t="s">
        <v>3030</v>
      </c>
      <c r="G1832" t="s">
        <v>1980</v>
      </c>
      <c r="I1832">
        <v>206.10900000000001</v>
      </c>
    </row>
    <row r="1833" spans="1:9" ht="15" customHeight="1" x14ac:dyDescent="0.15">
      <c r="A1833" s="6"/>
      <c r="D1833" t="s">
        <v>90</v>
      </c>
      <c r="E1833" t="str">
        <f>E1384&amp;".448"</f>
        <v>16.448</v>
      </c>
      <c r="F1833" t="s">
        <v>3031</v>
      </c>
      <c r="G1833" t="s">
        <v>1980</v>
      </c>
      <c r="I1833">
        <v>198.17699999999999</v>
      </c>
    </row>
    <row r="1834" spans="1:9" ht="15" customHeight="1" x14ac:dyDescent="0.15">
      <c r="A1834" s="6"/>
      <c r="D1834" t="s">
        <v>90</v>
      </c>
      <c r="E1834" t="str">
        <f>E1384&amp;".449"</f>
        <v>16.449</v>
      </c>
      <c r="F1834" t="s">
        <v>3032</v>
      </c>
      <c r="G1834" t="s">
        <v>1980</v>
      </c>
      <c r="I1834">
        <v>203.73400000000001</v>
      </c>
    </row>
    <row r="1835" spans="1:9" ht="15" customHeight="1" x14ac:dyDescent="0.15">
      <c r="A1835" s="6"/>
      <c r="D1835" t="s">
        <v>90</v>
      </c>
      <c r="E1835" t="str">
        <f>E1384&amp;".450"</f>
        <v>16.450</v>
      </c>
      <c r="F1835" t="s">
        <v>3033</v>
      </c>
      <c r="G1835" t="s">
        <v>1980</v>
      </c>
      <c r="I1835">
        <v>230</v>
      </c>
    </row>
    <row r="1836" spans="1:9" ht="15" customHeight="1" x14ac:dyDescent="0.15">
      <c r="A1836" s="6"/>
      <c r="D1836" t="s">
        <v>90</v>
      </c>
      <c r="E1836" t="str">
        <f>E1384&amp;".451"</f>
        <v>16.451</v>
      </c>
      <c r="F1836" t="s">
        <v>3034</v>
      </c>
      <c r="G1836" t="s">
        <v>1980</v>
      </c>
      <c r="I1836">
        <v>259.97699999999998</v>
      </c>
    </row>
    <row r="1837" spans="1:9" ht="15" customHeight="1" x14ac:dyDescent="0.15">
      <c r="A1837" s="6"/>
      <c r="D1837" t="s">
        <v>90</v>
      </c>
      <c r="E1837" t="str">
        <f>E1384&amp;".452"</f>
        <v>16.452</v>
      </c>
      <c r="F1837" t="s">
        <v>3035</v>
      </c>
      <c r="G1837" t="s">
        <v>1980</v>
      </c>
      <c r="I1837">
        <v>213.02</v>
      </c>
    </row>
    <row r="1838" spans="1:9" ht="15" customHeight="1" x14ac:dyDescent="0.15">
      <c r="A1838" s="6"/>
      <c r="D1838" t="s">
        <v>90</v>
      </c>
      <c r="E1838" t="str">
        <f>E1384&amp;".453"</f>
        <v>16.453</v>
      </c>
      <c r="F1838" t="s">
        <v>3036</v>
      </c>
      <c r="G1838" t="s">
        <v>1980</v>
      </c>
      <c r="I1838">
        <v>220.911</v>
      </c>
    </row>
    <row r="1839" spans="1:9" ht="15" customHeight="1" x14ac:dyDescent="0.15">
      <c r="A1839" s="6"/>
      <c r="D1839" t="s">
        <v>90</v>
      </c>
      <c r="E1839" t="str">
        <f>E1384&amp;".454"</f>
        <v>16.454</v>
      </c>
      <c r="F1839" t="s">
        <v>3037</v>
      </c>
      <c r="G1839" t="s">
        <v>1980</v>
      </c>
      <c r="I1839">
        <v>207.375</v>
      </c>
    </row>
    <row r="1840" spans="1:9" ht="15" customHeight="1" x14ac:dyDescent="0.15">
      <c r="A1840" s="6"/>
      <c r="D1840" t="s">
        <v>90</v>
      </c>
      <c r="E1840" t="str">
        <f>E1384&amp;".455"</f>
        <v>16.455</v>
      </c>
      <c r="F1840" t="s">
        <v>3038</v>
      </c>
      <c r="G1840" t="s">
        <v>1980</v>
      </c>
      <c r="I1840">
        <v>282.68599999999998</v>
      </c>
    </row>
    <row r="1841" spans="1:9" ht="15" customHeight="1" x14ac:dyDescent="0.15">
      <c r="A1841" s="6"/>
      <c r="D1841" t="s">
        <v>90</v>
      </c>
      <c r="E1841" t="str">
        <f>E1384&amp;".456"</f>
        <v>16.456</v>
      </c>
      <c r="F1841" t="s">
        <v>3039</v>
      </c>
      <c r="G1841" t="s">
        <v>1980</v>
      </c>
      <c r="I1841">
        <v>223.327</v>
      </c>
    </row>
    <row r="1842" spans="1:9" ht="15" customHeight="1" x14ac:dyDescent="0.15">
      <c r="A1842" s="6"/>
      <c r="D1842" t="s">
        <v>90</v>
      </c>
      <c r="E1842" t="str">
        <f>E1384&amp;".457"</f>
        <v>16.457</v>
      </c>
      <c r="F1842" t="s">
        <v>3040</v>
      </c>
      <c r="G1842" t="s">
        <v>1980</v>
      </c>
      <c r="I1842">
        <v>291.06299999999999</v>
      </c>
    </row>
    <row r="1843" spans="1:9" ht="15" customHeight="1" x14ac:dyDescent="0.15">
      <c r="A1843" s="6"/>
      <c r="D1843" t="s">
        <v>90</v>
      </c>
      <c r="E1843" t="str">
        <f>E1384&amp;".458"</f>
        <v>16.458</v>
      </c>
      <c r="F1843" t="s">
        <v>3041</v>
      </c>
      <c r="G1843" t="s">
        <v>1980</v>
      </c>
      <c r="I1843">
        <v>262.74099999999999</v>
      </c>
    </row>
    <row r="1844" spans="1:9" ht="15" customHeight="1" x14ac:dyDescent="0.15">
      <c r="A1844" s="6"/>
      <c r="D1844" t="s">
        <v>90</v>
      </c>
      <c r="E1844" t="str">
        <f>E1384&amp;".459"</f>
        <v>16.459</v>
      </c>
      <c r="F1844" t="s">
        <v>3042</v>
      </c>
      <c r="G1844" t="s">
        <v>1980</v>
      </c>
      <c r="I1844">
        <v>224.85499999999999</v>
      </c>
    </row>
    <row r="1845" spans="1:9" ht="15" customHeight="1" x14ac:dyDescent="0.15">
      <c r="A1845" s="6"/>
      <c r="D1845" t="s">
        <v>90</v>
      </c>
      <c r="E1845" t="str">
        <f>E1384&amp;".460"</f>
        <v>16.460</v>
      </c>
      <c r="F1845" t="s">
        <v>3043</v>
      </c>
      <c r="G1845" t="s">
        <v>1980</v>
      </c>
      <c r="I1845">
        <v>341.416</v>
      </c>
    </row>
    <row r="1846" spans="1:9" ht="15" customHeight="1" x14ac:dyDescent="0.15">
      <c r="A1846" s="6"/>
      <c r="D1846" t="s">
        <v>90</v>
      </c>
      <c r="E1846" t="str">
        <f>E1384&amp;".461"</f>
        <v>16.461</v>
      </c>
      <c r="F1846" t="s">
        <v>3044</v>
      </c>
      <c r="G1846" t="s">
        <v>1980</v>
      </c>
      <c r="I1846">
        <v>245.12700000000001</v>
      </c>
    </row>
    <row r="1847" spans="1:9" ht="15" customHeight="1" x14ac:dyDescent="0.15">
      <c r="A1847" s="6"/>
      <c r="D1847" t="s">
        <v>90</v>
      </c>
      <c r="E1847" t="str">
        <f>E1384&amp;".462"</f>
        <v>16.462</v>
      </c>
      <c r="F1847" t="s">
        <v>3045</v>
      </c>
      <c r="G1847" t="s">
        <v>1980</v>
      </c>
      <c r="I1847">
        <v>210</v>
      </c>
    </row>
    <row r="1848" spans="1:9" ht="15" customHeight="1" x14ac:dyDescent="0.15">
      <c r="A1848" s="6"/>
      <c r="D1848" t="s">
        <v>90</v>
      </c>
      <c r="E1848" t="str">
        <f>E1384&amp;".463"</f>
        <v>16.463</v>
      </c>
      <c r="F1848" t="s">
        <v>3046</v>
      </c>
      <c r="G1848" t="s">
        <v>1980</v>
      </c>
      <c r="I1848">
        <v>160.476</v>
      </c>
    </row>
    <row r="1849" spans="1:9" ht="15" customHeight="1" x14ac:dyDescent="0.15">
      <c r="A1849" s="6"/>
      <c r="D1849" t="s">
        <v>90</v>
      </c>
      <c r="E1849" t="str">
        <f>E1384&amp;".464"</f>
        <v>16.464</v>
      </c>
      <c r="F1849" t="s">
        <v>3047</v>
      </c>
      <c r="G1849" t="s">
        <v>1980</v>
      </c>
      <c r="I1849">
        <v>164.774</v>
      </c>
    </row>
    <row r="1850" spans="1:9" ht="15" customHeight="1" x14ac:dyDescent="0.15">
      <c r="A1850" s="6"/>
      <c r="D1850" t="s">
        <v>90</v>
      </c>
      <c r="E1850" t="str">
        <f>E1384&amp;".465"</f>
        <v>16.465</v>
      </c>
      <c r="F1850" t="s">
        <v>3048</v>
      </c>
      <c r="G1850" t="s">
        <v>1980</v>
      </c>
      <c r="I1850">
        <v>158.41999999999999</v>
      </c>
    </row>
    <row r="1851" spans="1:9" ht="15" customHeight="1" x14ac:dyDescent="0.15">
      <c r="A1851" s="6"/>
      <c r="D1851" t="s">
        <v>90</v>
      </c>
      <c r="E1851" t="str">
        <f>E1384&amp;".466"</f>
        <v>16.466</v>
      </c>
      <c r="F1851" t="s">
        <v>3049</v>
      </c>
      <c r="G1851" t="s">
        <v>1980</v>
      </c>
      <c r="I1851">
        <v>168.68</v>
      </c>
    </row>
    <row r="1852" spans="1:9" ht="15" customHeight="1" x14ac:dyDescent="0.15">
      <c r="A1852" s="6"/>
      <c r="D1852" t="s">
        <v>90</v>
      </c>
      <c r="E1852" t="str">
        <f>E1384&amp;".467"</f>
        <v>16.467</v>
      </c>
      <c r="F1852" t="s">
        <v>3050</v>
      </c>
      <c r="G1852" t="s">
        <v>1980</v>
      </c>
      <c r="I1852">
        <v>198</v>
      </c>
    </row>
    <row r="1853" spans="1:9" ht="15" customHeight="1" x14ac:dyDescent="0.15">
      <c r="A1853" s="6"/>
      <c r="D1853" t="s">
        <v>90</v>
      </c>
      <c r="E1853" t="str">
        <f>E1384&amp;".468"</f>
        <v>16.468</v>
      </c>
      <c r="F1853" t="s">
        <v>3051</v>
      </c>
      <c r="G1853" t="s">
        <v>1980</v>
      </c>
      <c r="I1853">
        <v>198</v>
      </c>
    </row>
    <row r="1854" spans="1:9" ht="15" customHeight="1" x14ac:dyDescent="0.15">
      <c r="A1854" s="6"/>
      <c r="D1854" t="s">
        <v>90</v>
      </c>
      <c r="E1854" t="str">
        <f>E1384&amp;".469"</f>
        <v>16.469</v>
      </c>
      <c r="F1854" t="s">
        <v>3052</v>
      </c>
      <c r="G1854" t="s">
        <v>1980</v>
      </c>
      <c r="I1854">
        <v>169.90299999999999</v>
      </c>
    </row>
    <row r="1855" spans="1:9" ht="15" customHeight="1" x14ac:dyDescent="0.15">
      <c r="A1855" s="6"/>
      <c r="D1855" t="s">
        <v>90</v>
      </c>
      <c r="E1855" t="str">
        <f>E1384&amp;".470"</f>
        <v>16.470</v>
      </c>
      <c r="F1855" t="s">
        <v>3053</v>
      </c>
      <c r="G1855" t="s">
        <v>1980</v>
      </c>
      <c r="I1855">
        <v>180.017</v>
      </c>
    </row>
    <row r="1856" spans="1:9" ht="15" customHeight="1" x14ac:dyDescent="0.15">
      <c r="A1856" s="6"/>
      <c r="D1856" t="s">
        <v>90</v>
      </c>
      <c r="E1856" t="str">
        <f>E1384&amp;".471"</f>
        <v>16.471</v>
      </c>
      <c r="F1856" t="s">
        <v>3054</v>
      </c>
      <c r="G1856" t="s">
        <v>1980</v>
      </c>
      <c r="I1856">
        <v>169.64099999999999</v>
      </c>
    </row>
    <row r="1857" spans="1:9" ht="15" customHeight="1" x14ac:dyDescent="0.15">
      <c r="A1857" s="6"/>
      <c r="D1857" t="s">
        <v>90</v>
      </c>
      <c r="E1857" t="str">
        <f>E1384&amp;".472"</f>
        <v>16.472</v>
      </c>
      <c r="F1857" t="s">
        <v>3055</v>
      </c>
      <c r="G1857" t="s">
        <v>1980</v>
      </c>
      <c r="I1857">
        <v>200</v>
      </c>
    </row>
    <row r="1858" spans="1:9" ht="15" customHeight="1" x14ac:dyDescent="0.15">
      <c r="A1858" s="6"/>
      <c r="D1858" t="s">
        <v>90</v>
      </c>
      <c r="E1858" t="str">
        <f>E1384&amp;".473"</f>
        <v>16.473</v>
      </c>
      <c r="F1858" t="s">
        <v>3056</v>
      </c>
      <c r="G1858" t="s">
        <v>1980</v>
      </c>
      <c r="I1858">
        <v>174.7</v>
      </c>
    </row>
    <row r="1859" spans="1:9" ht="15" customHeight="1" x14ac:dyDescent="0.15">
      <c r="A1859" s="6"/>
      <c r="D1859" t="s">
        <v>90</v>
      </c>
      <c r="E1859" t="str">
        <f>E1384&amp;".474"</f>
        <v>16.474</v>
      </c>
      <c r="F1859" t="s">
        <v>3057</v>
      </c>
      <c r="G1859" t="s">
        <v>1980</v>
      </c>
      <c r="I1859">
        <v>116.63200000000001</v>
      </c>
    </row>
    <row r="1860" spans="1:9" ht="15" customHeight="1" x14ac:dyDescent="0.15">
      <c r="A1860" s="6"/>
      <c r="D1860" t="s">
        <v>90</v>
      </c>
      <c r="E1860" t="str">
        <f>E1384&amp;".475"</f>
        <v>16.475</v>
      </c>
      <c r="F1860" t="s">
        <v>3058</v>
      </c>
      <c r="G1860" t="s">
        <v>1980</v>
      </c>
      <c r="I1860">
        <v>195.35300000000001</v>
      </c>
    </row>
    <row r="1861" spans="1:9" ht="15" customHeight="1" x14ac:dyDescent="0.15">
      <c r="A1861" s="6"/>
      <c r="D1861" t="s">
        <v>90</v>
      </c>
      <c r="E1861" t="str">
        <f>E1384&amp;".476"</f>
        <v>16.476</v>
      </c>
      <c r="F1861" t="s">
        <v>3059</v>
      </c>
      <c r="G1861" t="s">
        <v>1980</v>
      </c>
      <c r="I1861">
        <v>230</v>
      </c>
    </row>
    <row r="1862" spans="1:9" ht="15" customHeight="1" x14ac:dyDescent="0.15">
      <c r="A1862" s="6"/>
      <c r="D1862" t="s">
        <v>90</v>
      </c>
      <c r="E1862" t="str">
        <f>E1384&amp;".477"</f>
        <v>16.477</v>
      </c>
      <c r="F1862" t="s">
        <v>3060</v>
      </c>
      <c r="G1862" t="s">
        <v>1980</v>
      </c>
      <c r="I1862">
        <v>172</v>
      </c>
    </row>
    <row r="1863" spans="1:9" ht="15" customHeight="1" x14ac:dyDescent="0.15">
      <c r="A1863" s="6"/>
      <c r="D1863" t="s">
        <v>90</v>
      </c>
      <c r="E1863" t="str">
        <f>E1384&amp;".478"</f>
        <v>16.478</v>
      </c>
      <c r="F1863" t="s">
        <v>3061</v>
      </c>
      <c r="G1863" t="s">
        <v>1980</v>
      </c>
      <c r="I1863">
        <v>240</v>
      </c>
    </row>
    <row r="1864" spans="1:9" ht="15" customHeight="1" x14ac:dyDescent="0.15">
      <c r="A1864" s="6"/>
      <c r="D1864" t="s">
        <v>90</v>
      </c>
      <c r="E1864" t="str">
        <f>E1384&amp;".479"</f>
        <v>16.479</v>
      </c>
      <c r="F1864" t="s">
        <v>3062</v>
      </c>
      <c r="G1864" t="s">
        <v>1980</v>
      </c>
      <c r="I1864">
        <v>240</v>
      </c>
    </row>
    <row r="1865" spans="1:9" ht="15" customHeight="1" x14ac:dyDescent="0.15">
      <c r="A1865" s="6"/>
      <c r="D1865" t="s">
        <v>90</v>
      </c>
      <c r="E1865" t="str">
        <f>E1384&amp;".480"</f>
        <v>16.480</v>
      </c>
      <c r="F1865" t="s">
        <v>3063</v>
      </c>
      <c r="G1865" t="s">
        <v>1980</v>
      </c>
      <c r="I1865">
        <v>198</v>
      </c>
    </row>
    <row r="1866" spans="1:9" ht="15" customHeight="1" x14ac:dyDescent="0.15">
      <c r="A1866" s="6"/>
      <c r="D1866" t="s">
        <v>90</v>
      </c>
      <c r="E1866" t="str">
        <f>E1384&amp;".481"</f>
        <v>16.481</v>
      </c>
      <c r="F1866" t="s">
        <v>3064</v>
      </c>
      <c r="G1866" t="s">
        <v>1980</v>
      </c>
      <c r="I1866">
        <v>211.2</v>
      </c>
    </row>
    <row r="1867" spans="1:9" ht="15" customHeight="1" x14ac:dyDescent="0.15">
      <c r="A1867" s="6"/>
      <c r="D1867" t="s">
        <v>90</v>
      </c>
      <c r="E1867" t="str">
        <f>E1384&amp;".482"</f>
        <v>16.482</v>
      </c>
      <c r="F1867" t="s">
        <v>3065</v>
      </c>
      <c r="G1867" t="s">
        <v>1980</v>
      </c>
      <c r="I1867">
        <v>173.011</v>
      </c>
    </row>
    <row r="1868" spans="1:9" ht="15" customHeight="1" x14ac:dyDescent="0.15">
      <c r="A1868" s="6"/>
      <c r="D1868" t="s">
        <v>90</v>
      </c>
      <c r="E1868" t="str">
        <f>E1384&amp;".483"</f>
        <v>16.483</v>
      </c>
      <c r="F1868" t="s">
        <v>3066</v>
      </c>
      <c r="G1868" t="s">
        <v>1980</v>
      </c>
      <c r="I1868">
        <v>201.12700000000001</v>
      </c>
    </row>
    <row r="1869" spans="1:9" ht="15" customHeight="1" x14ac:dyDescent="0.15">
      <c r="A1869" s="6"/>
      <c r="D1869" t="s">
        <v>90</v>
      </c>
      <c r="E1869" t="str">
        <f>E1384&amp;".484"</f>
        <v>16.484</v>
      </c>
      <c r="F1869" t="s">
        <v>3067</v>
      </c>
      <c r="G1869" t="s">
        <v>1980</v>
      </c>
      <c r="I1869">
        <v>162</v>
      </c>
    </row>
    <row r="1870" spans="1:9" ht="15" customHeight="1" x14ac:dyDescent="0.15">
      <c r="A1870" s="6"/>
      <c r="D1870" t="s">
        <v>90</v>
      </c>
      <c r="E1870" t="str">
        <f>E1384&amp;".485"</f>
        <v>16.485</v>
      </c>
      <c r="F1870" t="s">
        <v>3068</v>
      </c>
      <c r="G1870" t="s">
        <v>1980</v>
      </c>
      <c r="I1870">
        <v>184</v>
      </c>
    </row>
    <row r="1871" spans="1:9" ht="15" customHeight="1" x14ac:dyDescent="0.15">
      <c r="A1871" s="6"/>
      <c r="D1871" t="s">
        <v>90</v>
      </c>
      <c r="E1871" t="str">
        <f>E1384&amp;".486"</f>
        <v>16.486</v>
      </c>
      <c r="F1871" t="s">
        <v>3069</v>
      </c>
      <c r="G1871" t="s">
        <v>1980</v>
      </c>
      <c r="I1871">
        <v>173</v>
      </c>
    </row>
    <row r="1872" spans="1:9" ht="15" customHeight="1" x14ac:dyDescent="0.15">
      <c r="A1872" s="6"/>
      <c r="D1872" t="s">
        <v>90</v>
      </c>
      <c r="E1872" t="str">
        <f>E1384&amp;".487"</f>
        <v>16.487</v>
      </c>
      <c r="F1872" t="s">
        <v>3070</v>
      </c>
      <c r="G1872" t="s">
        <v>1980</v>
      </c>
      <c r="I1872">
        <v>171</v>
      </c>
    </row>
    <row r="1873" spans="1:9" ht="15" customHeight="1" x14ac:dyDescent="0.15">
      <c r="A1873" s="6"/>
      <c r="D1873" t="s">
        <v>90</v>
      </c>
      <c r="E1873" t="str">
        <f>E1384&amp;".488"</f>
        <v>16.488</v>
      </c>
      <c r="F1873" t="s">
        <v>3071</v>
      </c>
      <c r="G1873" t="s">
        <v>1980</v>
      </c>
      <c r="I1873">
        <v>240</v>
      </c>
    </row>
    <row r="1874" spans="1:9" ht="15" customHeight="1" x14ac:dyDescent="0.15">
      <c r="A1874" s="6"/>
      <c r="D1874" t="s">
        <v>90</v>
      </c>
      <c r="E1874" t="str">
        <f>E1384&amp;".489"</f>
        <v>16.489</v>
      </c>
      <c r="F1874" t="s">
        <v>3072</v>
      </c>
      <c r="G1874" t="s">
        <v>1980</v>
      </c>
      <c r="I1874">
        <v>191.88499999999999</v>
      </c>
    </row>
    <row r="1875" spans="1:9" ht="15" customHeight="1" x14ac:dyDescent="0.15">
      <c r="A1875" s="6"/>
      <c r="D1875" t="s">
        <v>90</v>
      </c>
      <c r="E1875" t="str">
        <f>E1384&amp;".490"</f>
        <v>16.490</v>
      </c>
      <c r="F1875" t="s">
        <v>3073</v>
      </c>
      <c r="G1875" t="s">
        <v>1980</v>
      </c>
      <c r="I1875">
        <v>310.38</v>
      </c>
    </row>
    <row r="1876" spans="1:9" ht="15" customHeight="1" x14ac:dyDescent="0.15">
      <c r="A1876" s="6"/>
      <c r="D1876" t="s">
        <v>90</v>
      </c>
      <c r="E1876" t="str">
        <f>E1384&amp;".491"</f>
        <v>16.491</v>
      </c>
      <c r="F1876" t="s">
        <v>3074</v>
      </c>
      <c r="G1876" t="s">
        <v>1980</v>
      </c>
      <c r="I1876">
        <v>213.76400000000001</v>
      </c>
    </row>
    <row r="1877" spans="1:9" ht="15" customHeight="1" x14ac:dyDescent="0.15">
      <c r="A1877" s="6"/>
      <c r="D1877" t="s">
        <v>90</v>
      </c>
      <c r="E1877" t="str">
        <f>E1384&amp;".492"</f>
        <v>16.492</v>
      </c>
      <c r="F1877" t="s">
        <v>3075</v>
      </c>
      <c r="G1877" t="s">
        <v>1980</v>
      </c>
      <c r="I1877">
        <v>216.083</v>
      </c>
    </row>
    <row r="1878" spans="1:9" ht="15" customHeight="1" x14ac:dyDescent="0.15">
      <c r="A1878" s="6"/>
      <c r="D1878" t="s">
        <v>90</v>
      </c>
      <c r="E1878" t="str">
        <f>E1384&amp;".493"</f>
        <v>16.493</v>
      </c>
      <c r="F1878" t="s">
        <v>3076</v>
      </c>
      <c r="G1878" t="s">
        <v>1980</v>
      </c>
      <c r="I1878">
        <v>208.149</v>
      </c>
    </row>
    <row r="1879" spans="1:9" ht="15" customHeight="1" x14ac:dyDescent="0.15">
      <c r="A1879" s="6"/>
      <c r="D1879" t="s">
        <v>90</v>
      </c>
      <c r="E1879" t="str">
        <f>E1384&amp;".494"</f>
        <v>16.494</v>
      </c>
      <c r="F1879" t="s">
        <v>3077</v>
      </c>
      <c r="G1879" t="s">
        <v>1980</v>
      </c>
      <c r="I1879">
        <v>210</v>
      </c>
    </row>
    <row r="1880" spans="1:9" ht="15" customHeight="1" x14ac:dyDescent="0.15">
      <c r="A1880" s="6"/>
      <c r="D1880" t="s">
        <v>90</v>
      </c>
      <c r="E1880" t="str">
        <f>E1384&amp;".495"</f>
        <v>16.495</v>
      </c>
      <c r="F1880" t="s">
        <v>3078</v>
      </c>
      <c r="G1880" t="s">
        <v>1980</v>
      </c>
      <c r="I1880">
        <v>166.702</v>
      </c>
    </row>
    <row r="1881" spans="1:9" ht="15" customHeight="1" x14ac:dyDescent="0.15">
      <c r="A1881" s="6"/>
      <c r="D1881" t="s">
        <v>90</v>
      </c>
      <c r="E1881" t="str">
        <f>E1384&amp;".496"</f>
        <v>16.496</v>
      </c>
      <c r="F1881" t="s">
        <v>3079</v>
      </c>
      <c r="G1881" t="s">
        <v>1980</v>
      </c>
      <c r="I1881">
        <v>249.43299999999999</v>
      </c>
    </row>
    <row r="1882" spans="1:9" ht="15" customHeight="1" x14ac:dyDescent="0.15">
      <c r="A1882" s="6"/>
      <c r="D1882" t="s">
        <v>90</v>
      </c>
      <c r="E1882" t="str">
        <f>E1384&amp;".497"</f>
        <v>16.497</v>
      </c>
      <c r="F1882" t="s">
        <v>3080</v>
      </c>
      <c r="G1882" t="s">
        <v>1980</v>
      </c>
      <c r="I1882">
        <v>238</v>
      </c>
    </row>
    <row r="1883" spans="1:9" ht="15" customHeight="1" x14ac:dyDescent="0.15">
      <c r="A1883" s="6"/>
      <c r="D1883" t="s">
        <v>90</v>
      </c>
      <c r="E1883" t="str">
        <f>E1384&amp;".498"</f>
        <v>16.498</v>
      </c>
      <c r="F1883" t="s">
        <v>3081</v>
      </c>
      <c r="G1883" t="s">
        <v>1980</v>
      </c>
      <c r="I1883">
        <v>264.54599999999999</v>
      </c>
    </row>
    <row r="1884" spans="1:9" ht="15" customHeight="1" x14ac:dyDescent="0.15">
      <c r="A1884" s="6"/>
      <c r="D1884" t="s">
        <v>90</v>
      </c>
      <c r="E1884" t="str">
        <f>E1384&amp;".499"</f>
        <v>16.499</v>
      </c>
      <c r="F1884" t="s">
        <v>3082</v>
      </c>
      <c r="G1884" t="s">
        <v>1980</v>
      </c>
      <c r="I1884">
        <v>250</v>
      </c>
    </row>
    <row r="1885" spans="1:9" ht="15" customHeight="1" x14ac:dyDescent="0.15">
      <c r="A1885" s="6"/>
      <c r="D1885" t="s">
        <v>90</v>
      </c>
      <c r="E1885" t="str">
        <f>E1384&amp;".500"</f>
        <v>16.500</v>
      </c>
      <c r="F1885" t="s">
        <v>3083</v>
      </c>
      <c r="G1885" t="s">
        <v>1980</v>
      </c>
      <c r="I1885">
        <v>245</v>
      </c>
    </row>
    <row r="1886" spans="1:9" ht="15" customHeight="1" x14ac:dyDescent="0.15">
      <c r="A1886" s="6"/>
      <c r="D1886" t="s">
        <v>90</v>
      </c>
      <c r="E1886" t="str">
        <f>E1384&amp;".501"</f>
        <v>16.501</v>
      </c>
      <c r="F1886" t="s">
        <v>3084</v>
      </c>
      <c r="G1886" t="s">
        <v>1980</v>
      </c>
      <c r="I1886">
        <v>245</v>
      </c>
    </row>
    <row r="1887" spans="1:9" ht="15" customHeight="1" x14ac:dyDescent="0.15">
      <c r="A1887" s="6"/>
      <c r="D1887" t="s">
        <v>90</v>
      </c>
      <c r="E1887" t="str">
        <f>E1384&amp;".502"</f>
        <v>16.502</v>
      </c>
      <c r="F1887" t="s">
        <v>3085</v>
      </c>
      <c r="G1887" t="s">
        <v>1980</v>
      </c>
      <c r="I1887">
        <v>250</v>
      </c>
    </row>
    <row r="1888" spans="1:9" ht="15" customHeight="1" x14ac:dyDescent="0.15">
      <c r="A1888" s="6"/>
      <c r="D1888" t="s">
        <v>90</v>
      </c>
      <c r="E1888" t="str">
        <f>E1384&amp;".503"</f>
        <v>16.503</v>
      </c>
      <c r="F1888" t="s">
        <v>3086</v>
      </c>
      <c r="G1888" t="s">
        <v>1980</v>
      </c>
      <c r="I1888">
        <v>248.40799999999999</v>
      </c>
    </row>
    <row r="1889" spans="1:9" ht="15" customHeight="1" x14ac:dyDescent="0.15">
      <c r="A1889" s="6"/>
      <c r="D1889" t="s">
        <v>90</v>
      </c>
      <c r="E1889" t="str">
        <f>E1384&amp;".504"</f>
        <v>16.504</v>
      </c>
      <c r="F1889" t="s">
        <v>3087</v>
      </c>
      <c r="G1889" t="s">
        <v>1980</v>
      </c>
      <c r="I1889">
        <v>250</v>
      </c>
    </row>
    <row r="1890" spans="1:9" ht="15" customHeight="1" x14ac:dyDescent="0.15">
      <c r="A1890" s="6"/>
      <c r="D1890" t="s">
        <v>90</v>
      </c>
      <c r="E1890" t="str">
        <f>E1384&amp;".505"</f>
        <v>16.505</v>
      </c>
      <c r="F1890" t="s">
        <v>3088</v>
      </c>
      <c r="G1890" t="s">
        <v>1980</v>
      </c>
      <c r="I1890">
        <v>245</v>
      </c>
    </row>
    <row r="1891" spans="1:9" ht="15" customHeight="1" x14ac:dyDescent="0.15">
      <c r="A1891" s="6"/>
      <c r="D1891" t="s">
        <v>90</v>
      </c>
      <c r="E1891" t="str">
        <f>E1384&amp;".506"</f>
        <v>16.506</v>
      </c>
      <c r="F1891" t="s">
        <v>3089</v>
      </c>
      <c r="G1891" t="s">
        <v>1980</v>
      </c>
      <c r="I1891">
        <v>245</v>
      </c>
    </row>
    <row r="1892" spans="1:9" ht="15" customHeight="1" x14ac:dyDescent="0.15">
      <c r="A1892" s="6"/>
      <c r="D1892" t="s">
        <v>90</v>
      </c>
      <c r="E1892" t="str">
        <f>E1384&amp;".507"</f>
        <v>16.507</v>
      </c>
      <c r="F1892" t="s">
        <v>3090</v>
      </c>
      <c r="G1892" t="s">
        <v>1980</v>
      </c>
      <c r="I1892">
        <v>250</v>
      </c>
    </row>
    <row r="1893" spans="1:9" ht="15" customHeight="1" x14ac:dyDescent="0.15">
      <c r="A1893" s="6"/>
      <c r="D1893" t="s">
        <v>90</v>
      </c>
      <c r="E1893" t="str">
        <f>E1384&amp;".508"</f>
        <v>16.508</v>
      </c>
      <c r="F1893" t="s">
        <v>3091</v>
      </c>
      <c r="G1893" t="s">
        <v>1980</v>
      </c>
      <c r="I1893">
        <v>245</v>
      </c>
    </row>
    <row r="1894" spans="1:9" ht="15" customHeight="1" x14ac:dyDescent="0.15">
      <c r="A1894" s="6"/>
      <c r="D1894" t="s">
        <v>90</v>
      </c>
      <c r="E1894" t="str">
        <f>E1384&amp;".509"</f>
        <v>16.509</v>
      </c>
      <c r="F1894" t="s">
        <v>3092</v>
      </c>
      <c r="G1894" t="s">
        <v>1980</v>
      </c>
      <c r="I1894">
        <v>250</v>
      </c>
    </row>
    <row r="1895" spans="1:9" ht="15" customHeight="1" x14ac:dyDescent="0.15">
      <c r="A1895" s="6"/>
      <c r="D1895" t="s">
        <v>90</v>
      </c>
      <c r="E1895" t="str">
        <f>E1384&amp;".510"</f>
        <v>16.510</v>
      </c>
      <c r="F1895" t="s">
        <v>3093</v>
      </c>
      <c r="G1895" t="s">
        <v>1980</v>
      </c>
      <c r="I1895">
        <v>273.73899999999998</v>
      </c>
    </row>
    <row r="1896" spans="1:9" ht="15" customHeight="1" x14ac:dyDescent="0.15">
      <c r="A1896" s="6"/>
      <c r="D1896" t="s">
        <v>90</v>
      </c>
      <c r="E1896" t="str">
        <f>E1384&amp;".511"</f>
        <v>16.511</v>
      </c>
      <c r="F1896" t="s">
        <v>3094</v>
      </c>
      <c r="G1896" t="s">
        <v>1980</v>
      </c>
      <c r="I1896">
        <v>253.48400000000001</v>
      </c>
    </row>
    <row r="1897" spans="1:9" ht="15" customHeight="1" x14ac:dyDescent="0.15">
      <c r="A1897" s="6"/>
      <c r="D1897" t="s">
        <v>90</v>
      </c>
      <c r="E1897" t="str">
        <f>E1384&amp;".512"</f>
        <v>16.512</v>
      </c>
      <c r="F1897" t="s">
        <v>3095</v>
      </c>
      <c r="G1897" t="s">
        <v>1980</v>
      </c>
      <c r="I1897">
        <v>250</v>
      </c>
    </row>
    <row r="1898" spans="1:9" ht="15" customHeight="1" x14ac:dyDescent="0.15">
      <c r="A1898" s="6"/>
      <c r="D1898" t="s">
        <v>90</v>
      </c>
      <c r="E1898" t="str">
        <f>E1384&amp;".513"</f>
        <v>16.513</v>
      </c>
      <c r="F1898" t="s">
        <v>3096</v>
      </c>
      <c r="G1898" t="s">
        <v>1980</v>
      </c>
      <c r="I1898">
        <v>250</v>
      </c>
    </row>
    <row r="1899" spans="1:9" ht="15" customHeight="1" x14ac:dyDescent="0.15">
      <c r="A1899" s="6"/>
      <c r="D1899" t="s">
        <v>90</v>
      </c>
      <c r="E1899" t="str">
        <f>E1384&amp;".514"</f>
        <v>16.514</v>
      </c>
      <c r="F1899" t="s">
        <v>3097</v>
      </c>
      <c r="G1899" t="s">
        <v>1980</v>
      </c>
      <c r="I1899">
        <v>245</v>
      </c>
    </row>
    <row r="1900" spans="1:9" ht="15" customHeight="1" x14ac:dyDescent="0.15">
      <c r="A1900" s="6"/>
      <c r="D1900" t="s">
        <v>90</v>
      </c>
      <c r="E1900" t="str">
        <f>E1384&amp;".515"</f>
        <v>16.515</v>
      </c>
      <c r="F1900" t="s">
        <v>3098</v>
      </c>
      <c r="G1900" t="s">
        <v>1980</v>
      </c>
      <c r="I1900">
        <v>245</v>
      </c>
    </row>
    <row r="1901" spans="1:9" ht="15" customHeight="1" x14ac:dyDescent="0.15">
      <c r="A1901" s="6"/>
      <c r="D1901" t="s">
        <v>90</v>
      </c>
      <c r="E1901" t="str">
        <f>E1384&amp;".516"</f>
        <v>16.516</v>
      </c>
      <c r="F1901" t="s">
        <v>3099</v>
      </c>
      <c r="G1901" t="s">
        <v>1980</v>
      </c>
      <c r="I1901">
        <v>245</v>
      </c>
    </row>
    <row r="1902" spans="1:9" ht="15" customHeight="1" x14ac:dyDescent="0.15">
      <c r="A1902" s="6"/>
      <c r="D1902" t="s">
        <v>90</v>
      </c>
      <c r="E1902" t="str">
        <f>E1384&amp;".517"</f>
        <v>16.517</v>
      </c>
      <c r="F1902" t="s">
        <v>3100</v>
      </c>
      <c r="G1902" t="s">
        <v>1980</v>
      </c>
      <c r="I1902">
        <v>191.64400000000001</v>
      </c>
    </row>
    <row r="1903" spans="1:9" ht="15" customHeight="1" x14ac:dyDescent="0.15">
      <c r="A1903" s="6"/>
      <c r="D1903" t="s">
        <v>90</v>
      </c>
      <c r="E1903" t="str">
        <f>E1384&amp;".518"</f>
        <v>16.518</v>
      </c>
      <c r="F1903" t="s">
        <v>3101</v>
      </c>
      <c r="G1903" t="s">
        <v>1980</v>
      </c>
      <c r="I1903">
        <v>165.06</v>
      </c>
    </row>
    <row r="1904" spans="1:9" ht="15" customHeight="1" x14ac:dyDescent="0.15">
      <c r="A1904" s="6"/>
      <c r="D1904" t="s">
        <v>90</v>
      </c>
      <c r="E1904" t="str">
        <f>E1384&amp;".519"</f>
        <v>16.519</v>
      </c>
      <c r="F1904" t="s">
        <v>3102</v>
      </c>
      <c r="G1904" t="s">
        <v>1980</v>
      </c>
      <c r="I1904">
        <v>159.126</v>
      </c>
    </row>
    <row r="1905" spans="1:9" ht="15" customHeight="1" x14ac:dyDescent="0.15">
      <c r="A1905" s="6"/>
      <c r="D1905" t="s">
        <v>90</v>
      </c>
      <c r="E1905" t="str">
        <f>E1384&amp;".520"</f>
        <v>16.520</v>
      </c>
      <c r="F1905" t="s">
        <v>3103</v>
      </c>
      <c r="G1905" t="s">
        <v>1980</v>
      </c>
      <c r="I1905">
        <v>221.2</v>
      </c>
    </row>
    <row r="1906" spans="1:9" ht="15" customHeight="1" x14ac:dyDescent="0.15">
      <c r="A1906" s="6"/>
      <c r="D1906" t="s">
        <v>90</v>
      </c>
      <c r="E1906" t="str">
        <f>E1384&amp;".521"</f>
        <v>16.521</v>
      </c>
      <c r="F1906" t="s">
        <v>3104</v>
      </c>
      <c r="G1906" t="s">
        <v>1980</v>
      </c>
      <c r="I1906">
        <v>215</v>
      </c>
    </row>
    <row r="1907" spans="1:9" ht="15" customHeight="1" x14ac:dyDescent="0.15">
      <c r="A1907" s="6"/>
      <c r="D1907" t="s">
        <v>90</v>
      </c>
      <c r="E1907" t="str">
        <f>E1384&amp;".522"</f>
        <v>16.522</v>
      </c>
      <c r="F1907" t="s">
        <v>3105</v>
      </c>
      <c r="G1907" t="s">
        <v>1980</v>
      </c>
      <c r="I1907">
        <v>220.8</v>
      </c>
    </row>
    <row r="1908" spans="1:9" ht="15" customHeight="1" x14ac:dyDescent="0.15">
      <c r="A1908" s="6"/>
      <c r="D1908" t="s">
        <v>90</v>
      </c>
      <c r="E1908" t="str">
        <f>E1384&amp;".523"</f>
        <v>16.523</v>
      </c>
      <c r="F1908" t="s">
        <v>3106</v>
      </c>
      <c r="G1908" t="s">
        <v>1980</v>
      </c>
      <c r="I1908">
        <v>200</v>
      </c>
    </row>
    <row r="1909" spans="1:9" ht="15" customHeight="1" x14ac:dyDescent="0.15">
      <c r="A1909" s="6"/>
      <c r="D1909" t="s">
        <v>90</v>
      </c>
      <c r="E1909" t="str">
        <f>E1384&amp;".524"</f>
        <v>16.524</v>
      </c>
      <c r="F1909" t="s">
        <v>3107</v>
      </c>
      <c r="G1909" t="s">
        <v>1980</v>
      </c>
      <c r="I1909">
        <v>220</v>
      </c>
    </row>
    <row r="1910" spans="1:9" ht="15" customHeight="1" x14ac:dyDescent="0.15">
      <c r="A1910" s="6"/>
      <c r="D1910" t="s">
        <v>90</v>
      </c>
      <c r="E1910" t="str">
        <f>E1384&amp;".525"</f>
        <v>16.525</v>
      </c>
      <c r="F1910" t="s">
        <v>3108</v>
      </c>
      <c r="G1910" t="s">
        <v>1980</v>
      </c>
      <c r="I1910">
        <v>228.1</v>
      </c>
    </row>
    <row r="1911" spans="1:9" ht="15" customHeight="1" x14ac:dyDescent="0.15">
      <c r="A1911" s="6"/>
      <c r="D1911" t="s">
        <v>90</v>
      </c>
      <c r="E1911" t="str">
        <f>E1384&amp;".526"</f>
        <v>16.526</v>
      </c>
      <c r="F1911" t="s">
        <v>3109</v>
      </c>
      <c r="G1911" t="s">
        <v>1980</v>
      </c>
      <c r="I1911">
        <v>226.8</v>
      </c>
    </row>
    <row r="1912" spans="1:9" ht="15" customHeight="1" x14ac:dyDescent="0.15">
      <c r="A1912" s="6"/>
      <c r="D1912" t="s">
        <v>90</v>
      </c>
      <c r="E1912" t="str">
        <f>E1384&amp;".527"</f>
        <v>16.527</v>
      </c>
      <c r="F1912" t="s">
        <v>3110</v>
      </c>
      <c r="G1912" t="s">
        <v>1980</v>
      </c>
      <c r="I1912">
        <v>226.655</v>
      </c>
    </row>
    <row r="1913" spans="1:9" ht="15" customHeight="1" x14ac:dyDescent="0.15">
      <c r="A1913" s="6"/>
      <c r="D1913" t="s">
        <v>90</v>
      </c>
      <c r="E1913" t="str">
        <f>E1384&amp;".528"</f>
        <v>16.528</v>
      </c>
      <c r="F1913" t="s">
        <v>3111</v>
      </c>
      <c r="G1913" t="s">
        <v>1980</v>
      </c>
      <c r="I1913">
        <v>238.239</v>
      </c>
    </row>
    <row r="1914" spans="1:9" ht="15" customHeight="1" x14ac:dyDescent="0.15">
      <c r="A1914" s="6"/>
      <c r="D1914" t="s">
        <v>90</v>
      </c>
      <c r="E1914" t="str">
        <f>E1384&amp;".529"</f>
        <v>16.529</v>
      </c>
      <c r="F1914" t="s">
        <v>3112</v>
      </c>
      <c r="G1914" t="s">
        <v>1980</v>
      </c>
      <c r="I1914">
        <v>228.19499999999999</v>
      </c>
    </row>
    <row r="1915" spans="1:9" ht="15" customHeight="1" x14ac:dyDescent="0.15">
      <c r="A1915" s="6"/>
      <c r="D1915" t="s">
        <v>90</v>
      </c>
      <c r="E1915" t="str">
        <f>E1384&amp;".530"</f>
        <v>16.530</v>
      </c>
      <c r="F1915" t="s">
        <v>3113</v>
      </c>
      <c r="G1915" t="s">
        <v>1980</v>
      </c>
      <c r="I1915">
        <v>269.32299999999998</v>
      </c>
    </row>
    <row r="1916" spans="1:9" ht="15" customHeight="1" x14ac:dyDescent="0.15">
      <c r="A1916" s="6"/>
      <c r="D1916" t="s">
        <v>90</v>
      </c>
      <c r="E1916" t="str">
        <f>E1384&amp;".531"</f>
        <v>16.531</v>
      </c>
      <c r="F1916" t="s">
        <v>3114</v>
      </c>
      <c r="G1916" t="s">
        <v>1980</v>
      </c>
      <c r="I1916">
        <v>288.54899999999998</v>
      </c>
    </row>
    <row r="1917" spans="1:9" ht="15" customHeight="1" x14ac:dyDescent="0.15">
      <c r="A1917" s="6"/>
      <c r="D1917" t="s">
        <v>90</v>
      </c>
      <c r="E1917" t="str">
        <f>E1384&amp;".532"</f>
        <v>16.532</v>
      </c>
      <c r="F1917" t="s">
        <v>3115</v>
      </c>
      <c r="G1917" t="s">
        <v>1980</v>
      </c>
      <c r="I1917">
        <v>238.245</v>
      </c>
    </row>
    <row r="1918" spans="1:9" ht="15" customHeight="1" x14ac:dyDescent="0.15">
      <c r="A1918" s="6"/>
      <c r="D1918" t="s">
        <v>90</v>
      </c>
      <c r="E1918" t="str">
        <f>E1384&amp;".533"</f>
        <v>16.533</v>
      </c>
      <c r="F1918" t="s">
        <v>3116</v>
      </c>
      <c r="G1918" t="s">
        <v>1980</v>
      </c>
      <c r="I1918">
        <v>208.476</v>
      </c>
    </row>
    <row r="1919" spans="1:9" ht="15" customHeight="1" x14ac:dyDescent="0.15">
      <c r="A1919" s="6"/>
      <c r="D1919" t="s">
        <v>90</v>
      </c>
      <c r="E1919" t="str">
        <f>E1384&amp;".534"</f>
        <v>16.534</v>
      </c>
      <c r="F1919" t="s">
        <v>3117</v>
      </c>
      <c r="G1919" t="s">
        <v>1980</v>
      </c>
      <c r="I1919">
        <v>197.54400000000001</v>
      </c>
    </row>
    <row r="1920" spans="1:9" ht="15" customHeight="1" x14ac:dyDescent="0.15">
      <c r="A1920" s="6"/>
      <c r="D1920" t="s">
        <v>90</v>
      </c>
      <c r="E1920" t="str">
        <f>E1384&amp;".535"</f>
        <v>16.535</v>
      </c>
      <c r="F1920" t="s">
        <v>3118</v>
      </c>
      <c r="G1920" t="s">
        <v>1980</v>
      </c>
      <c r="I1920">
        <v>188.28399999999999</v>
      </c>
    </row>
    <row r="1921" spans="1:9" ht="15" customHeight="1" x14ac:dyDescent="0.15">
      <c r="A1921" s="6"/>
      <c r="D1921" t="s">
        <v>90</v>
      </c>
      <c r="E1921" t="str">
        <f>E1384&amp;".536"</f>
        <v>16.536</v>
      </c>
      <c r="F1921" t="s">
        <v>3119</v>
      </c>
      <c r="G1921" t="s">
        <v>1980</v>
      </c>
      <c r="I1921">
        <v>230.79300000000001</v>
      </c>
    </row>
    <row r="1922" spans="1:9" ht="15" customHeight="1" x14ac:dyDescent="0.15">
      <c r="A1922" s="6"/>
      <c r="D1922" t="s">
        <v>90</v>
      </c>
      <c r="E1922" t="str">
        <f>E1384&amp;".537"</f>
        <v>16.537</v>
      </c>
      <c r="F1922" t="s">
        <v>3120</v>
      </c>
      <c r="G1922" t="s">
        <v>1980</v>
      </c>
      <c r="I1922">
        <v>260.16300000000001</v>
      </c>
    </row>
    <row r="1923" spans="1:9" ht="15" customHeight="1" x14ac:dyDescent="0.15">
      <c r="A1923" s="6"/>
      <c r="D1923" t="s">
        <v>90</v>
      </c>
      <c r="E1923" t="str">
        <f>E1384&amp;".538"</f>
        <v>16.538</v>
      </c>
      <c r="F1923" t="s">
        <v>3121</v>
      </c>
      <c r="G1923" t="s">
        <v>1980</v>
      </c>
      <c r="I1923">
        <v>256.88799999999998</v>
      </c>
    </row>
    <row r="1924" spans="1:9" ht="15" customHeight="1" x14ac:dyDescent="0.15">
      <c r="A1924" s="6"/>
      <c r="D1924" t="s">
        <v>90</v>
      </c>
      <c r="E1924" t="str">
        <f>E1384&amp;".539"</f>
        <v>16.539</v>
      </c>
      <c r="F1924" t="s">
        <v>3122</v>
      </c>
      <c r="G1924" t="s">
        <v>1980</v>
      </c>
      <c r="I1924">
        <v>255.90299999999999</v>
      </c>
    </row>
    <row r="1925" spans="1:9" ht="15" customHeight="1" x14ac:dyDescent="0.15">
      <c r="A1925" s="6"/>
      <c r="D1925" t="s">
        <v>90</v>
      </c>
      <c r="E1925" t="str">
        <f>E1384&amp;".540"</f>
        <v>16.540</v>
      </c>
      <c r="F1925" t="s">
        <v>3123</v>
      </c>
      <c r="G1925" t="s">
        <v>1980</v>
      </c>
      <c r="I1925">
        <v>196.37</v>
      </c>
    </row>
    <row r="1926" spans="1:9" ht="15" customHeight="1" x14ac:dyDescent="0.15">
      <c r="A1926" s="6"/>
      <c r="D1926" t="s">
        <v>90</v>
      </c>
      <c r="E1926" t="str">
        <f>E1384&amp;".541"</f>
        <v>16.541</v>
      </c>
      <c r="F1926" t="s">
        <v>3124</v>
      </c>
      <c r="G1926" t="s">
        <v>1980</v>
      </c>
      <c r="I1926">
        <v>174.38499999999999</v>
      </c>
    </row>
    <row r="1927" spans="1:9" ht="15" customHeight="1" x14ac:dyDescent="0.15">
      <c r="A1927" s="6"/>
      <c r="D1927" t="s">
        <v>90</v>
      </c>
      <c r="E1927" t="str">
        <f>E1384&amp;".542"</f>
        <v>16.542</v>
      </c>
      <c r="F1927" t="s">
        <v>3125</v>
      </c>
      <c r="G1927" t="s">
        <v>1980</v>
      </c>
      <c r="I1927">
        <v>187.04400000000001</v>
      </c>
    </row>
    <row r="1928" spans="1:9" ht="15" customHeight="1" x14ac:dyDescent="0.15">
      <c r="A1928" s="6"/>
      <c r="D1928" t="s">
        <v>90</v>
      </c>
      <c r="E1928" t="str">
        <f>E1384&amp;".543"</f>
        <v>16.543</v>
      </c>
      <c r="F1928" t="s">
        <v>3126</v>
      </c>
      <c r="G1928" t="s">
        <v>1980</v>
      </c>
      <c r="I1928">
        <v>181.51599999999999</v>
      </c>
    </row>
    <row r="1929" spans="1:9" ht="15" customHeight="1" x14ac:dyDescent="0.15">
      <c r="A1929" s="6"/>
      <c r="D1929" t="s">
        <v>90</v>
      </c>
      <c r="E1929" t="str">
        <f>E1384&amp;".544"</f>
        <v>16.544</v>
      </c>
      <c r="F1929" t="s">
        <v>3127</v>
      </c>
      <c r="G1929" t="s">
        <v>1980</v>
      </c>
      <c r="I1929">
        <v>184.22800000000001</v>
      </c>
    </row>
    <row r="1930" spans="1:9" ht="15" customHeight="1" x14ac:dyDescent="0.15">
      <c r="A1930" s="6"/>
      <c r="D1930" t="s">
        <v>90</v>
      </c>
      <c r="E1930" t="str">
        <f>E1384&amp;".545"</f>
        <v>16.545</v>
      </c>
      <c r="F1930" t="s">
        <v>3128</v>
      </c>
      <c r="G1930" t="s">
        <v>1980</v>
      </c>
      <c r="I1930">
        <v>252.72399999999999</v>
      </c>
    </row>
    <row r="1931" spans="1:9" ht="15" customHeight="1" x14ac:dyDescent="0.15">
      <c r="A1931" s="6"/>
      <c r="D1931" t="s">
        <v>90</v>
      </c>
      <c r="E1931" t="str">
        <f>E1384&amp;".546"</f>
        <v>16.546</v>
      </c>
      <c r="F1931" t="s">
        <v>3129</v>
      </c>
      <c r="G1931" t="s">
        <v>1980</v>
      </c>
      <c r="I1931">
        <v>253.006</v>
      </c>
    </row>
    <row r="1932" spans="1:9" ht="15" customHeight="1" x14ac:dyDescent="0.15">
      <c r="A1932" s="6"/>
      <c r="D1932" t="s">
        <v>90</v>
      </c>
      <c r="E1932" t="str">
        <f>E1384&amp;".547"</f>
        <v>16.547</v>
      </c>
      <c r="F1932" t="s">
        <v>3130</v>
      </c>
      <c r="G1932" t="s">
        <v>1980</v>
      </c>
      <c r="I1932">
        <v>263.245</v>
      </c>
    </row>
    <row r="1933" spans="1:9" ht="15" customHeight="1" x14ac:dyDescent="0.15">
      <c r="A1933" s="6"/>
      <c r="D1933" t="s">
        <v>90</v>
      </c>
      <c r="E1933" t="str">
        <f>E1384&amp;".548"</f>
        <v>16.548</v>
      </c>
      <c r="F1933" t="s">
        <v>3131</v>
      </c>
      <c r="G1933" t="s">
        <v>1980</v>
      </c>
      <c r="I1933">
        <v>254.27</v>
      </c>
    </row>
    <row r="1934" spans="1:9" ht="15" customHeight="1" x14ac:dyDescent="0.15">
      <c r="A1934" s="6"/>
      <c r="D1934" t="s">
        <v>90</v>
      </c>
      <c r="E1934" t="str">
        <f>E1384&amp;".549"</f>
        <v>16.549</v>
      </c>
      <c r="F1934" t="s">
        <v>3132</v>
      </c>
      <c r="G1934" t="s">
        <v>1980</v>
      </c>
      <c r="I1934">
        <v>249.18799999999999</v>
      </c>
    </row>
    <row r="1935" spans="1:9" ht="15" customHeight="1" x14ac:dyDescent="0.15">
      <c r="A1935" s="6"/>
      <c r="D1935" t="s">
        <v>90</v>
      </c>
      <c r="E1935" t="str">
        <f>E1384&amp;".550"</f>
        <v>16.550</v>
      </c>
      <c r="F1935" t="s">
        <v>3133</v>
      </c>
      <c r="G1935" t="s">
        <v>1980</v>
      </c>
      <c r="I1935">
        <v>249.16399999999999</v>
      </c>
    </row>
    <row r="1936" spans="1:9" ht="15" customHeight="1" x14ac:dyDescent="0.15">
      <c r="A1936" s="6"/>
      <c r="D1936" t="s">
        <v>90</v>
      </c>
      <c r="E1936" t="str">
        <f>E1384&amp;".551"</f>
        <v>16.551</v>
      </c>
      <c r="F1936" t="s">
        <v>3134</v>
      </c>
      <c r="G1936" t="s">
        <v>1980</v>
      </c>
      <c r="I1936">
        <v>243.072</v>
      </c>
    </row>
    <row r="1937" spans="1:9" ht="15" customHeight="1" x14ac:dyDescent="0.15">
      <c r="A1937" s="6"/>
      <c r="D1937" t="s">
        <v>90</v>
      </c>
      <c r="E1937" t="str">
        <f>E1384&amp;".552"</f>
        <v>16.552</v>
      </c>
      <c r="F1937" t="s">
        <v>3135</v>
      </c>
      <c r="G1937" t="s">
        <v>1980</v>
      </c>
      <c r="I1937">
        <v>228.69399999999999</v>
      </c>
    </row>
    <row r="1938" spans="1:9" ht="15" customHeight="1" x14ac:dyDescent="0.15">
      <c r="A1938" s="6"/>
      <c r="D1938" t="s">
        <v>90</v>
      </c>
      <c r="E1938" t="str">
        <f>E1384&amp;".553"</f>
        <v>16.553</v>
      </c>
      <c r="F1938" t="s">
        <v>3136</v>
      </c>
      <c r="G1938" t="s">
        <v>1980</v>
      </c>
      <c r="I1938">
        <v>243.965</v>
      </c>
    </row>
    <row r="1939" spans="1:9" ht="15" customHeight="1" x14ac:dyDescent="0.15">
      <c r="A1939" s="6"/>
      <c r="D1939" t="s">
        <v>90</v>
      </c>
      <c r="E1939" t="str">
        <f>E1384&amp;".554"</f>
        <v>16.554</v>
      </c>
      <c r="F1939" t="s">
        <v>3137</v>
      </c>
      <c r="G1939" t="s">
        <v>1980</v>
      </c>
      <c r="I1939">
        <v>244.678</v>
      </c>
    </row>
    <row r="1940" spans="1:9" ht="15" customHeight="1" x14ac:dyDescent="0.15">
      <c r="A1940" s="6"/>
      <c r="D1940" t="s">
        <v>90</v>
      </c>
      <c r="E1940" t="str">
        <f>E1384&amp;".555"</f>
        <v>16.555</v>
      </c>
      <c r="F1940" t="s">
        <v>3138</v>
      </c>
      <c r="G1940" t="s">
        <v>1980</v>
      </c>
      <c r="I1940">
        <v>250.43</v>
      </c>
    </row>
    <row r="1941" spans="1:9" ht="15" customHeight="1" x14ac:dyDescent="0.15">
      <c r="A1941" s="6"/>
      <c r="D1941" t="s">
        <v>90</v>
      </c>
      <c r="E1941" t="str">
        <f>E1384&amp;".556"</f>
        <v>16.556</v>
      </c>
      <c r="F1941" t="s">
        <v>3139</v>
      </c>
      <c r="G1941" t="s">
        <v>1980</v>
      </c>
      <c r="I1941">
        <v>250.43</v>
      </c>
    </row>
    <row r="1942" spans="1:9" ht="15" customHeight="1" x14ac:dyDescent="0.15">
      <c r="A1942" s="6"/>
      <c r="D1942" t="s">
        <v>90</v>
      </c>
      <c r="E1942" t="str">
        <f>E1384&amp;".557"</f>
        <v>16.557</v>
      </c>
      <c r="F1942" t="s">
        <v>3140</v>
      </c>
      <c r="G1942" t="s">
        <v>1980</v>
      </c>
      <c r="I1942">
        <v>246.727</v>
      </c>
    </row>
    <row r="1943" spans="1:9" ht="15" customHeight="1" x14ac:dyDescent="0.15">
      <c r="A1943" s="6"/>
      <c r="D1943" t="s">
        <v>90</v>
      </c>
      <c r="E1943" t="str">
        <f>E1384&amp;".558"</f>
        <v>16.558</v>
      </c>
      <c r="F1943" t="s">
        <v>3141</v>
      </c>
      <c r="G1943" t="s">
        <v>1980</v>
      </c>
      <c r="I1943">
        <v>251.578</v>
      </c>
    </row>
    <row r="1944" spans="1:9" ht="15" customHeight="1" x14ac:dyDescent="0.15">
      <c r="A1944" s="6"/>
      <c r="D1944" t="s">
        <v>90</v>
      </c>
      <c r="E1944" t="str">
        <f>E1384&amp;".559"</f>
        <v>16.559</v>
      </c>
      <c r="F1944" t="s">
        <v>3142</v>
      </c>
      <c r="G1944" t="s">
        <v>1980</v>
      </c>
      <c r="I1944">
        <v>248.77699999999999</v>
      </c>
    </row>
    <row r="1945" spans="1:9" ht="15" customHeight="1" x14ac:dyDescent="0.15">
      <c r="A1945" s="6"/>
      <c r="D1945" t="s">
        <v>90</v>
      </c>
      <c r="E1945" t="str">
        <f>E1384&amp;".560"</f>
        <v>16.560</v>
      </c>
      <c r="F1945" t="s">
        <v>3143</v>
      </c>
      <c r="G1945" t="s">
        <v>1980</v>
      </c>
      <c r="I1945">
        <v>247.59899999999999</v>
      </c>
    </row>
    <row r="1946" spans="1:9" ht="15" customHeight="1" x14ac:dyDescent="0.15">
      <c r="A1946" s="6"/>
      <c r="D1946" t="s">
        <v>90</v>
      </c>
      <c r="E1946" t="str">
        <f>E1384&amp;".561"</f>
        <v>16.561</v>
      </c>
      <c r="F1946" t="s">
        <v>3144</v>
      </c>
      <c r="G1946" t="s">
        <v>1980</v>
      </c>
      <c r="I1946">
        <v>247.011</v>
      </c>
    </row>
    <row r="1947" spans="1:9" ht="15" customHeight="1" x14ac:dyDescent="0.15">
      <c r="A1947" s="6"/>
      <c r="D1947" t="s">
        <v>90</v>
      </c>
      <c r="E1947" t="str">
        <f>E1384&amp;".562"</f>
        <v>16.562</v>
      </c>
      <c r="F1947" t="s">
        <v>3145</v>
      </c>
      <c r="G1947" t="s">
        <v>1980</v>
      </c>
      <c r="I1947">
        <v>247.75800000000001</v>
      </c>
    </row>
    <row r="1948" spans="1:9" ht="15" customHeight="1" x14ac:dyDescent="0.15">
      <c r="A1948" s="6"/>
      <c r="D1948" t="s">
        <v>90</v>
      </c>
      <c r="E1948" t="str">
        <f>E1384&amp;".563"</f>
        <v>16.563</v>
      </c>
      <c r="F1948" t="s">
        <v>3146</v>
      </c>
      <c r="G1948" t="s">
        <v>1980</v>
      </c>
      <c r="I1948">
        <v>254.255</v>
      </c>
    </row>
    <row r="1949" spans="1:9" ht="15" customHeight="1" x14ac:dyDescent="0.15">
      <c r="A1949" s="6"/>
      <c r="D1949" t="s">
        <v>90</v>
      </c>
      <c r="E1949" t="str">
        <f>E1384&amp;".564"</f>
        <v>16.564</v>
      </c>
      <c r="F1949" t="s">
        <v>3147</v>
      </c>
      <c r="G1949" t="s">
        <v>1980</v>
      </c>
      <c r="I1949">
        <v>227.88399999999999</v>
      </c>
    </row>
    <row r="1950" spans="1:9" ht="15" customHeight="1" x14ac:dyDescent="0.15">
      <c r="A1950" s="6"/>
      <c r="D1950" t="s">
        <v>90</v>
      </c>
      <c r="E1950" t="str">
        <f>E1384&amp;".565"</f>
        <v>16.565</v>
      </c>
      <c r="F1950" t="s">
        <v>3148</v>
      </c>
      <c r="G1950" t="s">
        <v>1980</v>
      </c>
      <c r="I1950">
        <v>242.8</v>
      </c>
    </row>
    <row r="1951" spans="1:9" ht="15" customHeight="1" x14ac:dyDescent="0.15">
      <c r="A1951" s="6"/>
      <c r="D1951" t="s">
        <v>90</v>
      </c>
      <c r="E1951" t="str">
        <f>E1384&amp;".566"</f>
        <v>16.566</v>
      </c>
      <c r="F1951" t="s">
        <v>3149</v>
      </c>
      <c r="G1951" t="s">
        <v>1980</v>
      </c>
      <c r="I1951">
        <v>242.86</v>
      </c>
    </row>
    <row r="1952" spans="1:9" ht="15" customHeight="1" x14ac:dyDescent="0.15">
      <c r="A1952" s="6"/>
      <c r="D1952" t="s">
        <v>90</v>
      </c>
      <c r="E1952" t="str">
        <f>E1384&amp;".567"</f>
        <v>16.567</v>
      </c>
      <c r="F1952" t="s">
        <v>3150</v>
      </c>
      <c r="G1952" t="s">
        <v>1980</v>
      </c>
      <c r="I1952">
        <v>177.43100000000001</v>
      </c>
    </row>
    <row r="1953" spans="1:9" ht="15" customHeight="1" x14ac:dyDescent="0.15">
      <c r="A1953" s="6"/>
      <c r="D1953" t="s">
        <v>90</v>
      </c>
      <c r="E1953" t="str">
        <f>E1384&amp;".568"</f>
        <v>16.568</v>
      </c>
      <c r="F1953" t="s">
        <v>3151</v>
      </c>
      <c r="G1953" t="s">
        <v>1980</v>
      </c>
      <c r="I1953">
        <v>179.95</v>
      </c>
    </row>
    <row r="1954" spans="1:9" ht="15" customHeight="1" x14ac:dyDescent="0.15">
      <c r="A1954" s="6"/>
      <c r="D1954" t="s">
        <v>90</v>
      </c>
      <c r="E1954" t="str">
        <f>E1384&amp;".569"</f>
        <v>16.569</v>
      </c>
      <c r="F1954" t="s">
        <v>3152</v>
      </c>
      <c r="G1954" t="s">
        <v>1980</v>
      </c>
      <c r="I1954">
        <v>188.21</v>
      </c>
    </row>
    <row r="1955" spans="1:9" ht="15" customHeight="1" x14ac:dyDescent="0.15">
      <c r="A1955" s="6"/>
      <c r="D1955" t="s">
        <v>90</v>
      </c>
      <c r="E1955" t="str">
        <f>E1384&amp;".570"</f>
        <v>16.570</v>
      </c>
      <c r="F1955" t="s">
        <v>3153</v>
      </c>
      <c r="G1955" t="s">
        <v>1980</v>
      </c>
      <c r="I1955">
        <v>179.97399999999999</v>
      </c>
    </row>
    <row r="1956" spans="1:9" ht="15" customHeight="1" x14ac:dyDescent="0.15">
      <c r="A1956" s="6"/>
      <c r="D1956" t="s">
        <v>90</v>
      </c>
      <c r="E1956" t="str">
        <f>E1384&amp;".571"</f>
        <v>16.571</v>
      </c>
      <c r="F1956" t="s">
        <v>3154</v>
      </c>
      <c r="G1956" t="s">
        <v>1980</v>
      </c>
      <c r="I1956">
        <v>188.51</v>
      </c>
    </row>
    <row r="1957" spans="1:9" ht="15" customHeight="1" x14ac:dyDescent="0.15">
      <c r="A1957" s="6"/>
      <c r="D1957" t="s">
        <v>90</v>
      </c>
      <c r="E1957" t="str">
        <f>E1384&amp;".572"</f>
        <v>16.572</v>
      </c>
      <c r="F1957" t="s">
        <v>3155</v>
      </c>
      <c r="G1957" t="s">
        <v>1980</v>
      </c>
      <c r="I1957">
        <v>228.7</v>
      </c>
    </row>
    <row r="1958" spans="1:9" ht="15" customHeight="1" x14ac:dyDescent="0.15">
      <c r="A1958" s="6"/>
      <c r="D1958" t="s">
        <v>90</v>
      </c>
      <c r="E1958" t="str">
        <f>E1384&amp;".573"</f>
        <v>16.573</v>
      </c>
      <c r="F1958" t="s">
        <v>3156</v>
      </c>
      <c r="G1958" t="s">
        <v>1980</v>
      </c>
      <c r="I1958">
        <v>250.89500000000001</v>
      </c>
    </row>
    <row r="1959" spans="1:9" ht="15" customHeight="1" x14ac:dyDescent="0.15">
      <c r="A1959" s="6"/>
      <c r="D1959" t="s">
        <v>90</v>
      </c>
      <c r="E1959" t="str">
        <f>E1384&amp;".574"</f>
        <v>16.574</v>
      </c>
      <c r="F1959" t="s">
        <v>3157</v>
      </c>
      <c r="G1959" t="s">
        <v>1980</v>
      </c>
      <c r="I1959">
        <v>197.59399999999999</v>
      </c>
    </row>
    <row r="1960" spans="1:9" ht="15" customHeight="1" x14ac:dyDescent="0.15">
      <c r="A1960" s="6"/>
      <c r="D1960" t="s">
        <v>90</v>
      </c>
      <c r="E1960" t="str">
        <f>E1384&amp;".575"</f>
        <v>16.575</v>
      </c>
      <c r="F1960" t="s">
        <v>3158</v>
      </c>
      <c r="G1960" t="s">
        <v>1980</v>
      </c>
      <c r="I1960">
        <v>210</v>
      </c>
    </row>
    <row r="1961" spans="1:9" ht="15" customHeight="1" x14ac:dyDescent="0.15">
      <c r="A1961" s="6"/>
      <c r="D1961" t="s">
        <v>90</v>
      </c>
      <c r="E1961" t="str">
        <f>E1384&amp;".576"</f>
        <v>16.576</v>
      </c>
      <c r="F1961" t="s">
        <v>3159</v>
      </c>
      <c r="G1961" t="s">
        <v>1980</v>
      </c>
      <c r="I1961">
        <v>210.006</v>
      </c>
    </row>
    <row r="1962" spans="1:9" ht="15" customHeight="1" x14ac:dyDescent="0.15">
      <c r="A1962" s="6"/>
      <c r="D1962" t="s">
        <v>90</v>
      </c>
      <c r="E1962" t="str">
        <f>E1384&amp;".577"</f>
        <v>16.577</v>
      </c>
      <c r="F1962" t="s">
        <v>3160</v>
      </c>
      <c r="G1962" t="s">
        <v>1980</v>
      </c>
      <c r="I1962">
        <v>210</v>
      </c>
    </row>
    <row r="1963" spans="1:9" ht="15" customHeight="1" x14ac:dyDescent="0.15">
      <c r="A1963" s="6"/>
      <c r="D1963" t="s">
        <v>90</v>
      </c>
      <c r="E1963" t="str">
        <f>E1384&amp;".578"</f>
        <v>16.578</v>
      </c>
      <c r="F1963" t="s">
        <v>3161</v>
      </c>
      <c r="G1963" t="s">
        <v>1980</v>
      </c>
      <c r="I1963">
        <v>210</v>
      </c>
    </row>
    <row r="1964" spans="1:9" ht="15" customHeight="1" x14ac:dyDescent="0.15">
      <c r="A1964" s="6"/>
      <c r="D1964" t="s">
        <v>90</v>
      </c>
      <c r="E1964" t="str">
        <f>E1384&amp;".579"</f>
        <v>16.579</v>
      </c>
      <c r="F1964" t="s">
        <v>3162</v>
      </c>
      <c r="G1964" t="s">
        <v>1980</v>
      </c>
      <c r="I1964">
        <v>210.00200000000001</v>
      </c>
    </row>
    <row r="1965" spans="1:9" ht="15" customHeight="1" x14ac:dyDescent="0.15">
      <c r="A1965" s="6"/>
      <c r="D1965" t="s">
        <v>90</v>
      </c>
      <c r="E1965" t="str">
        <f>E1384&amp;".580"</f>
        <v>16.580</v>
      </c>
      <c r="F1965" t="s">
        <v>3163</v>
      </c>
      <c r="G1965" t="s">
        <v>1980</v>
      </c>
      <c r="I1965">
        <v>209.999</v>
      </c>
    </row>
    <row r="1966" spans="1:9" ht="15" customHeight="1" x14ac:dyDescent="0.15">
      <c r="A1966" s="6"/>
      <c r="D1966" t="s">
        <v>90</v>
      </c>
      <c r="E1966" t="str">
        <f>E1384&amp;".581"</f>
        <v>16.581</v>
      </c>
      <c r="F1966" t="s">
        <v>3164</v>
      </c>
      <c r="G1966" t="s">
        <v>1980</v>
      </c>
      <c r="I1966">
        <v>209.99199999999999</v>
      </c>
    </row>
    <row r="1967" spans="1:9" ht="15" customHeight="1" x14ac:dyDescent="0.15">
      <c r="A1967" s="6"/>
      <c r="D1967" t="s">
        <v>90</v>
      </c>
      <c r="E1967" t="str">
        <f>E1384&amp;".582"</f>
        <v>16.582</v>
      </c>
      <c r="F1967" t="s">
        <v>3165</v>
      </c>
      <c r="G1967" t="s">
        <v>1980</v>
      </c>
      <c r="I1967">
        <v>158</v>
      </c>
    </row>
    <row r="1968" spans="1:9" ht="15" customHeight="1" x14ac:dyDescent="0.15">
      <c r="A1968" s="6"/>
      <c r="D1968" t="s">
        <v>90</v>
      </c>
      <c r="E1968" t="str">
        <f>E1384&amp;".583"</f>
        <v>16.583</v>
      </c>
      <c r="F1968" t="s">
        <v>3166</v>
      </c>
      <c r="G1968" t="s">
        <v>1980</v>
      </c>
      <c r="I1968">
        <v>230.999</v>
      </c>
    </row>
    <row r="1969" spans="1:9" ht="15" customHeight="1" x14ac:dyDescent="0.15">
      <c r="A1969" s="6"/>
      <c r="D1969" t="s">
        <v>90</v>
      </c>
      <c r="E1969" t="str">
        <f>E1384&amp;".584"</f>
        <v>16.584</v>
      </c>
      <c r="F1969" t="s">
        <v>3167</v>
      </c>
      <c r="G1969" t="s">
        <v>1980</v>
      </c>
      <c r="I1969">
        <v>203.995</v>
      </c>
    </row>
    <row r="1970" spans="1:9" ht="15" customHeight="1" x14ac:dyDescent="0.15">
      <c r="A1970" s="6"/>
      <c r="D1970" t="s">
        <v>90</v>
      </c>
      <c r="E1970" t="str">
        <f>E1384&amp;".585"</f>
        <v>16.585</v>
      </c>
      <c r="F1970" t="s">
        <v>3168</v>
      </c>
      <c r="G1970" t="s">
        <v>1980</v>
      </c>
      <c r="I1970">
        <v>250.52600000000001</v>
      </c>
    </row>
    <row r="1971" spans="1:9" ht="15" customHeight="1" x14ac:dyDescent="0.15">
      <c r="A1971" s="6"/>
      <c r="D1971" t="s">
        <v>90</v>
      </c>
      <c r="E1971" t="str">
        <f>E1384&amp;".586"</f>
        <v>16.586</v>
      </c>
      <c r="F1971" t="s">
        <v>3169</v>
      </c>
      <c r="G1971" t="s">
        <v>1980</v>
      </c>
      <c r="I1971">
        <v>246.19499999999999</v>
      </c>
    </row>
    <row r="1972" spans="1:9" ht="15" customHeight="1" x14ac:dyDescent="0.15">
      <c r="A1972" s="6"/>
      <c r="D1972" t="s">
        <v>90</v>
      </c>
      <c r="E1972" t="str">
        <f>E1384&amp;".587"</f>
        <v>16.587</v>
      </c>
      <c r="F1972" t="s">
        <v>3170</v>
      </c>
      <c r="G1972" t="s">
        <v>1980</v>
      </c>
      <c r="I1972">
        <v>242.756</v>
      </c>
    </row>
    <row r="1973" spans="1:9" ht="15" customHeight="1" x14ac:dyDescent="0.15">
      <c r="A1973" s="6"/>
      <c r="D1973" t="s">
        <v>90</v>
      </c>
      <c r="E1973" t="str">
        <f>E1384&amp;".588"</f>
        <v>16.588</v>
      </c>
      <c r="F1973" t="s">
        <v>3171</v>
      </c>
      <c r="G1973" t="s">
        <v>1980</v>
      </c>
      <c r="I1973">
        <v>263.12</v>
      </c>
    </row>
    <row r="1974" spans="1:9" ht="15" customHeight="1" x14ac:dyDescent="0.15">
      <c r="A1974" s="6"/>
      <c r="D1974" t="s">
        <v>90</v>
      </c>
      <c r="E1974" t="str">
        <f>E1384&amp;".589"</f>
        <v>16.589</v>
      </c>
      <c r="F1974" t="s">
        <v>3172</v>
      </c>
      <c r="G1974" t="s">
        <v>1980</v>
      </c>
      <c r="I1974">
        <v>266.78800000000001</v>
      </c>
    </row>
    <row r="1975" spans="1:9" ht="15" customHeight="1" x14ac:dyDescent="0.15">
      <c r="A1975" s="6"/>
      <c r="D1975" t="s">
        <v>90</v>
      </c>
      <c r="E1975" t="str">
        <f>E1384&amp;".590"</f>
        <v>16.590</v>
      </c>
      <c r="F1975" t="s">
        <v>3173</v>
      </c>
      <c r="G1975" t="s">
        <v>1980</v>
      </c>
      <c r="I1975">
        <v>242.76</v>
      </c>
    </row>
    <row r="1976" spans="1:9" ht="15" customHeight="1" x14ac:dyDescent="0.15">
      <c r="A1976" s="6"/>
      <c r="D1976" t="s">
        <v>90</v>
      </c>
      <c r="E1976" t="str">
        <f>E1384&amp;".591"</f>
        <v>16.591</v>
      </c>
      <c r="F1976" t="s">
        <v>3174</v>
      </c>
      <c r="G1976" t="s">
        <v>1980</v>
      </c>
      <c r="I1976">
        <v>273.00299999999999</v>
      </c>
    </row>
    <row r="1977" spans="1:9" ht="15" customHeight="1" x14ac:dyDescent="0.15">
      <c r="A1977" s="6"/>
      <c r="D1977" t="s">
        <v>90</v>
      </c>
      <c r="E1977" t="str">
        <f>E1384&amp;".592"</f>
        <v>16.592</v>
      </c>
      <c r="F1977" t="s">
        <v>3175</v>
      </c>
      <c r="G1977" t="s">
        <v>1980</v>
      </c>
      <c r="I1977">
        <v>238.00200000000001</v>
      </c>
    </row>
    <row r="1978" spans="1:9" ht="15" customHeight="1" x14ac:dyDescent="0.15">
      <c r="A1978" s="6"/>
      <c r="D1978" t="s">
        <v>90</v>
      </c>
      <c r="E1978" t="str">
        <f>E1384&amp;".593"</f>
        <v>16.593</v>
      </c>
      <c r="F1978" t="s">
        <v>3176</v>
      </c>
      <c r="G1978" t="s">
        <v>1980</v>
      </c>
      <c r="I1978">
        <v>252.75700000000001</v>
      </c>
    </row>
    <row r="1979" spans="1:9" ht="15" customHeight="1" x14ac:dyDescent="0.15">
      <c r="A1979" s="6"/>
      <c r="D1979" t="s">
        <v>90</v>
      </c>
      <c r="E1979" t="str">
        <f>E1384&amp;".594"</f>
        <v>16.594</v>
      </c>
      <c r="F1979" t="s">
        <v>3177</v>
      </c>
      <c r="G1979" t="s">
        <v>1980</v>
      </c>
      <c r="I1979">
        <v>252.76400000000001</v>
      </c>
    </row>
    <row r="1980" spans="1:9" ht="15" customHeight="1" x14ac:dyDescent="0.15">
      <c r="A1980" s="6"/>
      <c r="D1980" t="s">
        <v>90</v>
      </c>
      <c r="E1980" t="str">
        <f>E1384&amp;".595"</f>
        <v>16.595</v>
      </c>
      <c r="F1980" t="s">
        <v>3178</v>
      </c>
      <c r="G1980" t="s">
        <v>1980</v>
      </c>
      <c r="I1980">
        <v>268.89699999999999</v>
      </c>
    </row>
    <row r="1981" spans="1:9" ht="15" customHeight="1" x14ac:dyDescent="0.15">
      <c r="A1981" s="6"/>
      <c r="D1981" t="s">
        <v>90</v>
      </c>
      <c r="E1981" t="str">
        <f>E1384&amp;".596"</f>
        <v>16.596</v>
      </c>
      <c r="F1981" t="s">
        <v>3179</v>
      </c>
      <c r="G1981" t="s">
        <v>1980</v>
      </c>
      <c r="I1981">
        <v>218.47399999999999</v>
      </c>
    </row>
    <row r="1982" spans="1:9" ht="15" customHeight="1" x14ac:dyDescent="0.15">
      <c r="A1982" s="6"/>
      <c r="D1982" t="s">
        <v>90</v>
      </c>
      <c r="E1982" t="str">
        <f>E1384&amp;".597"</f>
        <v>16.597</v>
      </c>
      <c r="F1982" t="s">
        <v>3180</v>
      </c>
      <c r="G1982" t="s">
        <v>1980</v>
      </c>
      <c r="I1982">
        <v>230.69800000000001</v>
      </c>
    </row>
    <row r="1983" spans="1:9" ht="15" customHeight="1" x14ac:dyDescent="0.15">
      <c r="A1983" s="6"/>
      <c r="D1983" t="s">
        <v>90</v>
      </c>
      <c r="E1983" t="str">
        <f>E1384&amp;".598"</f>
        <v>16.598</v>
      </c>
      <c r="F1983" t="s">
        <v>3181</v>
      </c>
      <c r="G1983" t="s">
        <v>1980</v>
      </c>
      <c r="I1983">
        <v>253</v>
      </c>
    </row>
    <row r="1984" spans="1:9" ht="15" customHeight="1" x14ac:dyDescent="0.15">
      <c r="A1984" s="6"/>
      <c r="D1984" t="s">
        <v>90</v>
      </c>
      <c r="E1984" t="str">
        <f>E1384&amp;".599"</f>
        <v>16.599</v>
      </c>
      <c r="F1984" t="s">
        <v>3182</v>
      </c>
      <c r="G1984" t="s">
        <v>1980</v>
      </c>
      <c r="I1984">
        <v>242.751</v>
      </c>
    </row>
    <row r="1985" spans="1:41" ht="15" customHeight="1" x14ac:dyDescent="0.15">
      <c r="A1985" s="6"/>
      <c r="D1985" t="s">
        <v>90</v>
      </c>
      <c r="E1985" t="str">
        <f>E1384&amp;".600"</f>
        <v>16.600</v>
      </c>
      <c r="F1985" t="s">
        <v>3183</v>
      </c>
      <c r="G1985" t="s">
        <v>1980</v>
      </c>
      <c r="I1985">
        <v>178.3</v>
      </c>
    </row>
    <row r="1986" spans="1:41" ht="15" customHeight="1" x14ac:dyDescent="0.15">
      <c r="A1986" s="6"/>
      <c r="D1986" t="s">
        <v>90</v>
      </c>
      <c r="E1986" t="str">
        <f>E1384&amp;".601"</f>
        <v>16.601</v>
      </c>
      <c r="F1986" t="s">
        <v>3184</v>
      </c>
      <c r="G1986" t="s">
        <v>1980</v>
      </c>
      <c r="I1986">
        <v>227.99799999999999</v>
      </c>
    </row>
    <row r="1987" spans="1:41" ht="15" customHeight="1" x14ac:dyDescent="0.15">
      <c r="A1987" s="6"/>
      <c r="D1987" t="s">
        <v>90</v>
      </c>
      <c r="E1987" t="str">
        <f>E1384&amp;".602"</f>
        <v>16.602</v>
      </c>
      <c r="F1987" t="s">
        <v>3185</v>
      </c>
      <c r="G1987" t="s">
        <v>1980</v>
      </c>
      <c r="I1987">
        <v>239.5</v>
      </c>
    </row>
    <row r="1988" spans="1:41" ht="15" customHeight="1" x14ac:dyDescent="0.15">
      <c r="A1988" s="6"/>
      <c r="D1988" t="s">
        <v>90</v>
      </c>
      <c r="E1988" t="str">
        <f>E1384&amp;".603"</f>
        <v>16.603</v>
      </c>
      <c r="F1988" t="s">
        <v>3186</v>
      </c>
      <c r="G1988" t="s">
        <v>1980</v>
      </c>
      <c r="I1988">
        <v>268</v>
      </c>
    </row>
    <row r="1989" spans="1:41" ht="15" customHeight="1" x14ac:dyDescent="0.15">
      <c r="A1989" s="6"/>
      <c r="D1989" t="s">
        <v>90</v>
      </c>
      <c r="E1989" t="str">
        <f>E1384&amp;".604"</f>
        <v>16.604</v>
      </c>
      <c r="F1989" t="s">
        <v>3187</v>
      </c>
      <c r="G1989" t="s">
        <v>1980</v>
      </c>
      <c r="I1989">
        <v>230</v>
      </c>
    </row>
    <row r="1990" spans="1:41" ht="15" customHeight="1" x14ac:dyDescent="0.15">
      <c r="A1990" s="6"/>
      <c r="D1990" t="s">
        <v>90</v>
      </c>
      <c r="E1990" t="str">
        <f>E1384&amp;".605"</f>
        <v>16.605</v>
      </c>
      <c r="F1990" t="s">
        <v>3188</v>
      </c>
      <c r="G1990" t="s">
        <v>1980</v>
      </c>
      <c r="I1990">
        <v>268.00200000000001</v>
      </c>
    </row>
    <row r="1991" spans="1:41" ht="15" customHeight="1" x14ac:dyDescent="0.15">
      <c r="A1991" s="6"/>
      <c r="F1991" t="s">
        <v>1816</v>
      </c>
    </row>
    <row r="1992" spans="1:41" ht="52.5" customHeight="1" x14ac:dyDescent="0.15">
      <c r="A1992" s="6"/>
      <c r="E1992" t="str">
        <f>FHD_NUM_P_80</f>
        <v>17</v>
      </c>
      <c r="F19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92" t="s">
        <v>3189</v>
      </c>
      <c r="I1992">
        <v>64.095362198224294</v>
      </c>
      <c r="J1992">
        <v>85.387921996414505</v>
      </c>
      <c r="K1992">
        <v>59.724616638195101</v>
      </c>
      <c r="L1992">
        <v>88.551350534799298</v>
      </c>
      <c r="M1992">
        <v>89.507911127313207</v>
      </c>
      <c r="N1992">
        <v>71.684792607686504</v>
      </c>
      <c r="O1992">
        <v>31.153678936497698</v>
      </c>
      <c r="P1992">
        <v>93.246441327628403</v>
      </c>
      <c r="Q1992">
        <v>70.861950981391502</v>
      </c>
      <c r="R1992">
        <v>96.430529016294301</v>
      </c>
      <c r="S1992">
        <v>92.578074404670105</v>
      </c>
      <c r="T1992">
        <v>0</v>
      </c>
      <c r="U1992">
        <v>109.08890952522199</v>
      </c>
      <c r="V1992">
        <v>0</v>
      </c>
      <c r="W1992">
        <v>76.343534524580704</v>
      </c>
      <c r="X1992">
        <v>0</v>
      </c>
      <c r="Y1992">
        <v>0</v>
      </c>
      <c r="Z1992">
        <v>0</v>
      </c>
      <c r="AA1992">
        <v>0</v>
      </c>
      <c r="AB1992">
        <v>0</v>
      </c>
      <c r="AC1992">
        <v>0</v>
      </c>
      <c r="AD1992">
        <v>0</v>
      </c>
      <c r="AE1992">
        <v>0</v>
      </c>
      <c r="AF1992">
        <v>0</v>
      </c>
      <c r="AG1992">
        <v>0</v>
      </c>
      <c r="AH1992">
        <v>0</v>
      </c>
      <c r="AI1992">
        <v>76.343534524580704</v>
      </c>
      <c r="AJ1992">
        <v>116.99218008844799</v>
      </c>
      <c r="AK1992">
        <v>58.473948550643897</v>
      </c>
      <c r="AL1992">
        <v>0</v>
      </c>
      <c r="AM1992">
        <v>0</v>
      </c>
      <c r="AN1992">
        <v>0</v>
      </c>
      <c r="AO1992">
        <v>0</v>
      </c>
    </row>
    <row r="1993" spans="1:41" ht="55.5" customHeight="1" x14ac:dyDescent="0.15">
      <c r="A1993" s="6"/>
      <c r="E1993" t="str">
        <f>FHD_NUM_P_81</f>
        <v>18</v>
      </c>
      <c r="F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993" t="s">
        <v>3190</v>
      </c>
      <c r="I1993">
        <v>1.61</v>
      </c>
      <c r="J1993">
        <v>2.27</v>
      </c>
      <c r="K1993">
        <v>4.8600000000000003</v>
      </c>
      <c r="L1993">
        <v>1.34</v>
      </c>
      <c r="M1993">
        <v>7.87</v>
      </c>
      <c r="N1993">
        <v>1.64</v>
      </c>
      <c r="O1993">
        <v>3.24</v>
      </c>
      <c r="P1993">
        <v>3.14</v>
      </c>
      <c r="Q1993">
        <v>0.48</v>
      </c>
      <c r="R1993">
        <v>0.24</v>
      </c>
      <c r="S1993">
        <v>1.03</v>
      </c>
      <c r="T1993">
        <v>2.15</v>
      </c>
      <c r="U1993">
        <v>1.91</v>
      </c>
      <c r="V1993">
        <v>0</v>
      </c>
      <c r="W1993">
        <v>0</v>
      </c>
      <c r="X1993">
        <v>0</v>
      </c>
      <c r="Y1993">
        <v>0</v>
      </c>
      <c r="Z1993">
        <v>0</v>
      </c>
      <c r="AA1993">
        <v>0</v>
      </c>
      <c r="AB1993">
        <v>0</v>
      </c>
      <c r="AC1993">
        <v>0</v>
      </c>
      <c r="AD1993">
        <v>0</v>
      </c>
      <c r="AE1993">
        <v>0</v>
      </c>
      <c r="AF1993">
        <v>0</v>
      </c>
      <c r="AG1993">
        <v>0</v>
      </c>
      <c r="AH1993">
        <v>0</v>
      </c>
      <c r="AI1993">
        <v>1.1000000000000001</v>
      </c>
      <c r="AJ1993">
        <v>11.03</v>
      </c>
      <c r="AK1993">
        <v>14.15</v>
      </c>
      <c r="AL1993">
        <v>0</v>
      </c>
      <c r="AM1993">
        <v>0</v>
      </c>
      <c r="AN1993">
        <v>0</v>
      </c>
      <c r="AO1993">
        <v>0</v>
      </c>
    </row>
    <row r="1994" spans="1:41" ht="81" customHeight="1" x14ac:dyDescent="0.15">
      <c r="A1994" s="6"/>
      <c r="C1994" t="s">
        <v>2616</v>
      </c>
      <c r="E1994" t="str">
        <f>FHD_NUM_P_82</f>
        <v>19</v>
      </c>
      <c r="F19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994" t="s">
        <v>599</v>
      </c>
    </row>
    <row r="1995" spans="1:41" ht="32.25" customHeight="1" x14ac:dyDescent="0.15">
      <c r="A1995" s="6"/>
      <c r="C1995" t="s">
        <v>2616</v>
      </c>
      <c r="E1995" t="str">
        <f>FHD_NUM_P_83</f>
        <v>19.1</v>
      </c>
      <c r="F1995" t="str">
        <f>FHD_P_83</f>
        <v>Информация о показателях физического износа объектов теплоснабжения</v>
      </c>
      <c r="G1995" t="s">
        <v>599</v>
      </c>
    </row>
    <row r="1996" spans="1:41" ht="57" customHeight="1" x14ac:dyDescent="0.15">
      <c r="A1996" s="6"/>
      <c r="C1996" t="s">
        <v>2616</v>
      </c>
      <c r="E1996" t="str">
        <f>FHD_NUM_P_84</f>
        <v>19.2</v>
      </c>
      <c r="F1996" t="str">
        <f>FHD_P_84</f>
        <v>Информация о показателях энергетической эффективности объектов теплоснабжения</v>
      </c>
      <c r="G1996" t="s">
        <v>599</v>
      </c>
    </row>
    <row r="1997" spans="1:41" ht="15" customHeight="1" x14ac:dyDescent="0.15"/>
    <row r="1998" spans="1:41" ht="15" customHeight="1" x14ac:dyDescent="0.15"/>
    <row r="1999" spans="1:41" ht="15" customHeight="1" x14ac:dyDescent="0.15"/>
    <row r="2000" spans="1:41" ht="15" customHeight="1" x14ac:dyDescent="0.15"/>
    <row r="2001" spans="8:42" ht="15" customHeight="1" x14ac:dyDescent="0.15"/>
    <row r="2002" spans="8:42" ht="15" customHeight="1" x14ac:dyDescent="0.15">
      <c r="H2002" t="str">
        <f t="shared" ref="H2002:AP2002" si="19">IF(H30-H31&lt;&gt;H127,"WARNING","")</f>
        <v/>
      </c>
      <c r="I2002" t="str">
        <f t="shared" si="19"/>
        <v>WARNING</v>
      </c>
      <c r="J2002" t="str">
        <f t="shared" si="19"/>
        <v>WARNING</v>
      </c>
      <c r="K2002" t="str">
        <f t="shared" si="19"/>
        <v>WARNING</v>
      </c>
      <c r="L2002" t="str">
        <f t="shared" si="19"/>
        <v>WARNING</v>
      </c>
      <c r="M2002" t="str">
        <f t="shared" si="19"/>
        <v>WARNING</v>
      </c>
      <c r="N2002" t="str">
        <f t="shared" si="19"/>
        <v>WARNING</v>
      </c>
      <c r="O2002" t="str">
        <f t="shared" si="19"/>
        <v>WARNING</v>
      </c>
      <c r="P2002" t="str">
        <f t="shared" si="19"/>
        <v>WARNING</v>
      </c>
      <c r="Q2002" t="str">
        <f t="shared" si="19"/>
        <v>WARNING</v>
      </c>
      <c r="R2002" t="str">
        <f t="shared" si="19"/>
        <v>WARNING</v>
      </c>
      <c r="S2002" t="str">
        <f t="shared" si="19"/>
        <v>WARNING</v>
      </c>
      <c r="T2002" t="str">
        <f t="shared" si="19"/>
        <v>WARNING</v>
      </c>
      <c r="U2002" t="str">
        <f t="shared" si="19"/>
        <v>WARNING</v>
      </c>
      <c r="V2002" t="str">
        <f t="shared" si="19"/>
        <v>WARNING</v>
      </c>
      <c r="W2002" t="str">
        <f t="shared" si="19"/>
        <v>WARNING</v>
      </c>
      <c r="X2002" t="str">
        <f t="shared" si="19"/>
        <v>WARNING</v>
      </c>
      <c r="Y2002" t="str">
        <f t="shared" si="19"/>
        <v>WARNING</v>
      </c>
      <c r="Z2002" t="str">
        <f t="shared" si="19"/>
        <v>WARNING</v>
      </c>
      <c r="AA2002" t="str">
        <f t="shared" si="19"/>
        <v>WARNING</v>
      </c>
      <c r="AB2002" t="str">
        <f t="shared" si="19"/>
        <v>WARNING</v>
      </c>
      <c r="AC2002" t="str">
        <f t="shared" si="19"/>
        <v>WARNING</v>
      </c>
      <c r="AD2002" t="str">
        <f t="shared" si="19"/>
        <v>WARNING</v>
      </c>
      <c r="AE2002" t="str">
        <f t="shared" si="19"/>
        <v>WARNING</v>
      </c>
      <c r="AF2002" t="str">
        <f t="shared" si="19"/>
        <v>WARNING</v>
      </c>
      <c r="AG2002" t="str">
        <f t="shared" si="19"/>
        <v>WARNING</v>
      </c>
      <c r="AH2002" t="str">
        <f t="shared" si="19"/>
        <v/>
      </c>
      <c r="AI2002" t="str">
        <f t="shared" si="19"/>
        <v>WARNING</v>
      </c>
      <c r="AJ2002" t="str">
        <f t="shared" si="19"/>
        <v>WARNING</v>
      </c>
      <c r="AK2002" t="str">
        <f t="shared" si="19"/>
        <v>WARNING</v>
      </c>
      <c r="AL2002" t="str">
        <f t="shared" si="19"/>
        <v>WARNING</v>
      </c>
      <c r="AM2002" t="str">
        <f t="shared" si="19"/>
        <v>WARNING</v>
      </c>
      <c r="AN2002" t="str">
        <f t="shared" si="19"/>
        <v>WARNING</v>
      </c>
      <c r="AO2002" t="str">
        <f t="shared" si="19"/>
        <v>WARNING</v>
      </c>
      <c r="AP2002" t="str">
        <f t="shared" si="19"/>
        <v/>
      </c>
    </row>
    <row r="2003" spans="8:42" ht="15" customHeight="1" x14ac:dyDescent="0.15"/>
    <row r="2004" spans="8:42" ht="15" customHeight="1" x14ac:dyDescent="0.15"/>
    <row r="2005" spans="8:42" ht="15" customHeight="1" x14ac:dyDescent="0.15"/>
    <row r="2006" spans="8:42" ht="15" customHeight="1" x14ac:dyDescent="0.15"/>
    <row r="2007" spans="8:42" ht="15" customHeight="1" x14ac:dyDescent="0.15"/>
    <row r="2008" spans="8:42" ht="15" customHeight="1" x14ac:dyDescent="0.15"/>
    <row r="2009" spans="8:42" ht="15" customHeight="1" x14ac:dyDescent="0.15"/>
    <row r="2010" spans="8:42" ht="15" customHeight="1" x14ac:dyDescent="0.15"/>
    <row r="2011" spans="8:42" ht="15" customHeight="1" x14ac:dyDescent="0.15"/>
    <row r="2012" spans="8:42" ht="15" customHeight="1" x14ac:dyDescent="0.15"/>
    <row r="2013" spans="8:42" ht="15" customHeight="1" x14ac:dyDescent="0.15"/>
    <row r="2014" spans="8:42" ht="15" customHeight="1" x14ac:dyDescent="0.15"/>
    <row r="2015" spans="8:42" ht="15" customHeight="1" x14ac:dyDescent="0.15"/>
    <row r="2016" spans="8:42" ht="15" customHeight="1" x14ac:dyDescent="0.15"/>
    <row r="2017" ht="15" customHeight="1" x14ac:dyDescent="0.15"/>
    <row r="2018" ht="15" customHeight="1" x14ac:dyDescent="0.15"/>
    <row r="2019" ht="15" customHeight="1" x14ac:dyDescent="0.15"/>
    <row r="2020" ht="15" customHeight="1" x14ac:dyDescent="0.15"/>
    <row r="2021" ht="15" customHeight="1" x14ac:dyDescent="0.15"/>
    <row r="2022" ht="15" customHeight="1" x14ac:dyDescent="0.15"/>
    <row r="2023" ht="15" customHeight="1" x14ac:dyDescent="0.15"/>
    <row r="2024" ht="15" customHeight="1" x14ac:dyDescent="0.15"/>
    <row r="2025" ht="15" customHeight="1" x14ac:dyDescent="0.15"/>
    <row r="2026" ht="15" customHeight="1" x14ac:dyDescent="0.15"/>
    <row r="2027" ht="15" customHeight="1" x14ac:dyDescent="0.15"/>
    <row r="2028" ht="15" customHeight="1" x14ac:dyDescent="0.15"/>
    <row r="2029" ht="15" customHeight="1" x14ac:dyDescent="0.15"/>
    <row r="2030" ht="15" customHeight="1" x14ac:dyDescent="0.15"/>
    <row r="2031" ht="15" customHeight="1" x14ac:dyDescent="0.15"/>
    <row r="2032" ht="15" customHeight="1" x14ac:dyDescent="0.15"/>
    <row r="2033" ht="15" customHeight="1" x14ac:dyDescent="0.15"/>
    <row r="2034" ht="15" customHeight="1" x14ac:dyDescent="0.15"/>
    <row r="2035" ht="15" customHeight="1" x14ac:dyDescent="0.15"/>
    <row r="2036" ht="15" customHeight="1" x14ac:dyDescent="0.15"/>
    <row r="2037" ht="15" customHeight="1" x14ac:dyDescent="0.15"/>
    <row r="2038" ht="15" customHeight="1" x14ac:dyDescent="0.15"/>
    <row r="2039" ht="15" customHeight="1" x14ac:dyDescent="0.15"/>
    <row r="2040" ht="15" customHeight="1" x14ac:dyDescent="0.15"/>
    <row r="2041" ht="15" customHeight="1" x14ac:dyDescent="0.15"/>
    <row r="2042" ht="15" customHeight="1" x14ac:dyDescent="0.15"/>
    <row r="2043" ht="15" customHeight="1" x14ac:dyDescent="0.15"/>
    <row r="2044" ht="15" customHeight="1" x14ac:dyDescent="0.15"/>
    <row r="2045" ht="15" customHeight="1" x14ac:dyDescent="0.15"/>
    <row r="2046" ht="15" customHeight="1" x14ac:dyDescent="0.15"/>
    <row r="2047" ht="15" customHeight="1" x14ac:dyDescent="0.15"/>
    <row r="2048" ht="15" customHeight="1" x14ac:dyDescent="0.15"/>
    <row r="2049" ht="15" customHeight="1" x14ac:dyDescent="0.15"/>
    <row r="2050" ht="15" customHeight="1" x14ac:dyDescent="0.15"/>
    <row r="2051" ht="15" customHeight="1" x14ac:dyDescent="0.15"/>
    <row r="2052" ht="15" customHeight="1" x14ac:dyDescent="0.15"/>
    <row r="2053" ht="15" customHeight="1" x14ac:dyDescent="0.15"/>
    <row r="2054" ht="15" customHeight="1" x14ac:dyDescent="0.15"/>
    <row r="2055" ht="15" customHeight="1" x14ac:dyDescent="0.15"/>
    <row r="2056" ht="15" customHeight="1" x14ac:dyDescent="0.15"/>
    <row r="2057" ht="15" customHeight="1" x14ac:dyDescent="0.15"/>
    <row r="2058" ht="15" customHeight="1" x14ac:dyDescent="0.15"/>
    <row r="2059" ht="15" customHeight="1" x14ac:dyDescent="0.15"/>
    <row r="2060" ht="15" customHeight="1" x14ac:dyDescent="0.15"/>
    <row r="2061" ht="15" customHeight="1" x14ac:dyDescent="0.15"/>
    <row r="2062" ht="15" customHeight="1" x14ac:dyDescent="0.15"/>
    <row r="2063" ht="15" customHeight="1" x14ac:dyDescent="0.15"/>
    <row r="2064" ht="15" customHeight="1" x14ac:dyDescent="0.15"/>
    <row r="2065" ht="15" customHeight="1" x14ac:dyDescent="0.15"/>
    <row r="2066" ht="15" customHeight="1" x14ac:dyDescent="0.15"/>
    <row r="2067" ht="15" customHeight="1" x14ac:dyDescent="0.15"/>
    <row r="2068" ht="15" customHeight="1" x14ac:dyDescent="0.15"/>
    <row r="2069" ht="15" customHeight="1" x14ac:dyDescent="0.15"/>
    <row r="2070" ht="15" customHeight="1" x14ac:dyDescent="0.15"/>
    <row r="2071" ht="15" customHeight="1" x14ac:dyDescent="0.15"/>
    <row r="2072" ht="15" customHeight="1" x14ac:dyDescent="0.15"/>
    <row r="2073" ht="15" customHeight="1" x14ac:dyDescent="0.15"/>
    <row r="2074" ht="15" customHeight="1" x14ac:dyDescent="0.15"/>
    <row r="2075" ht="15" customHeight="1" x14ac:dyDescent="0.15"/>
    <row r="2076" ht="15" customHeight="1" x14ac:dyDescent="0.15"/>
    <row r="2077" ht="15" customHeight="1" x14ac:dyDescent="0.15"/>
    <row r="2078" ht="15" customHeight="1" x14ac:dyDescent="0.15"/>
    <row r="2079" ht="15" customHeight="1" x14ac:dyDescent="0.15"/>
    <row r="2080" ht="15" customHeight="1" x14ac:dyDescent="0.15"/>
    <row r="2081" ht="15" customHeight="1" x14ac:dyDescent="0.15"/>
    <row r="2082" ht="15" customHeight="1" x14ac:dyDescent="0.15"/>
    <row r="2083" ht="15" customHeight="1" x14ac:dyDescent="0.15"/>
    <row r="2084" ht="15" customHeight="1" x14ac:dyDescent="0.15"/>
    <row r="2085" ht="15" customHeight="1" x14ac:dyDescent="0.15"/>
    <row r="2086" ht="15" customHeight="1" x14ac:dyDescent="0.15"/>
    <row r="2087" ht="15" customHeight="1" x14ac:dyDescent="0.15"/>
    <row r="2088" ht="15" customHeight="1" x14ac:dyDescent="0.15"/>
    <row r="2089" ht="15" customHeight="1" x14ac:dyDescent="0.15"/>
    <row r="2090" ht="15" customHeight="1" x14ac:dyDescent="0.15"/>
    <row r="2091" ht="15" customHeight="1" x14ac:dyDescent="0.15"/>
    <row r="2092" ht="15" customHeight="1" x14ac:dyDescent="0.15"/>
    <row r="2093" ht="15" customHeight="1" x14ac:dyDescent="0.15"/>
    <row r="2094" ht="15" customHeight="1" x14ac:dyDescent="0.15"/>
    <row r="2095" ht="15" customHeight="1" x14ac:dyDescent="0.15"/>
    <row r="2096" ht="15" customHeight="1" x14ac:dyDescent="0.15"/>
    <row r="2097" ht="15" customHeight="1" x14ac:dyDescent="0.15"/>
    <row r="2098" ht="15" customHeight="1" x14ac:dyDescent="0.15"/>
    <row r="2099" ht="15" customHeight="1" x14ac:dyDescent="0.15"/>
    <row r="2100" ht="15" customHeight="1" x14ac:dyDescent="0.15"/>
    <row r="2101" ht="15" customHeight="1" x14ac:dyDescent="0.15"/>
    <row r="2102" ht="15" customHeight="1" x14ac:dyDescent="0.15"/>
    <row r="2103" ht="15" customHeight="1" x14ac:dyDescent="0.15"/>
    <row r="2104" ht="15" customHeight="1" x14ac:dyDescent="0.15"/>
    <row r="2105" ht="15" customHeight="1" x14ac:dyDescent="0.15"/>
    <row r="2106" ht="15" customHeight="1" x14ac:dyDescent="0.15"/>
    <row r="2107" ht="15" customHeight="1" x14ac:dyDescent="0.15"/>
    <row r="2108" ht="15" customHeight="1" x14ac:dyDescent="0.15"/>
    <row r="2109" ht="15" customHeight="1" x14ac:dyDescent="0.15"/>
    <row r="2110" ht="15" customHeight="1" x14ac:dyDescent="0.15"/>
    <row r="2111" ht="15" customHeight="1" x14ac:dyDescent="0.15"/>
    <row r="2112" ht="15" customHeight="1" x14ac:dyDescent="0.15"/>
    <row r="2113" ht="15" customHeight="1" x14ac:dyDescent="0.15"/>
    <row r="2114" ht="15" customHeight="1" x14ac:dyDescent="0.15"/>
    <row r="2115" ht="15" customHeight="1" x14ac:dyDescent="0.15"/>
    <row r="2116" ht="15" customHeight="1" x14ac:dyDescent="0.15"/>
    <row r="2117" ht="15" customHeight="1" x14ac:dyDescent="0.15"/>
    <row r="2118" ht="15" customHeight="1" x14ac:dyDescent="0.15"/>
    <row r="2119" ht="15" customHeight="1" x14ac:dyDescent="0.15"/>
    <row r="2120" ht="15" customHeight="1" x14ac:dyDescent="0.15"/>
    <row r="2121" ht="15" customHeight="1" x14ac:dyDescent="0.15"/>
    <row r="2122" ht="15" customHeight="1" x14ac:dyDescent="0.15"/>
    <row r="2123" ht="15" customHeight="1" x14ac:dyDescent="0.15"/>
    <row r="2124" ht="15" customHeight="1" x14ac:dyDescent="0.15"/>
    <row r="2125" ht="15" customHeight="1" x14ac:dyDescent="0.15"/>
    <row r="2126" ht="15" customHeight="1" x14ac:dyDescent="0.15"/>
    <row r="2127" ht="15" customHeight="1" x14ac:dyDescent="0.15"/>
    <row r="2128" ht="15" customHeight="1" x14ac:dyDescent="0.15"/>
    <row r="2129" ht="15" customHeight="1" x14ac:dyDescent="0.15"/>
    <row r="2130" ht="15" customHeight="1" x14ac:dyDescent="0.15"/>
    <row r="2131" ht="15" customHeight="1" x14ac:dyDescent="0.15"/>
    <row r="2132" ht="15" customHeight="1" x14ac:dyDescent="0.15"/>
    <row r="2133" ht="15" customHeight="1" x14ac:dyDescent="0.15"/>
    <row r="2134" ht="15" customHeight="1" x14ac:dyDescent="0.15"/>
    <row r="2135" ht="15" customHeight="1" x14ac:dyDescent="0.15"/>
    <row r="2136" ht="15" customHeight="1" x14ac:dyDescent="0.15"/>
    <row r="2137" ht="15" customHeight="1" x14ac:dyDescent="0.15"/>
    <row r="2138" ht="15" customHeight="1" x14ac:dyDescent="0.15"/>
    <row r="2139" ht="15" customHeight="1" x14ac:dyDescent="0.15"/>
    <row r="2140" ht="15" customHeight="1" x14ac:dyDescent="0.15"/>
    <row r="2141" ht="15" customHeight="1" x14ac:dyDescent="0.15"/>
    <row r="2142" ht="15" customHeight="1" x14ac:dyDescent="0.15"/>
    <row r="2143" ht="15" customHeight="1" x14ac:dyDescent="0.15"/>
    <row r="2144" ht="15" customHeight="1" x14ac:dyDescent="0.15"/>
    <row r="2145" ht="15" customHeight="1" x14ac:dyDescent="0.15"/>
    <row r="2146" ht="15" customHeight="1" x14ac:dyDescent="0.15"/>
    <row r="2147" ht="15" customHeight="1" x14ac:dyDescent="0.15"/>
    <row r="2148" ht="15" customHeight="1" x14ac:dyDescent="0.15"/>
    <row r="2149" ht="15" customHeight="1" x14ac:dyDescent="0.15"/>
    <row r="2150" ht="15" customHeight="1" x14ac:dyDescent="0.15"/>
    <row r="2151" ht="15" customHeight="1" x14ac:dyDescent="0.15"/>
    <row r="2152" ht="15" customHeight="1" x14ac:dyDescent="0.15"/>
    <row r="2153" ht="15" customHeight="1" x14ac:dyDescent="0.15"/>
    <row r="2154" ht="15" customHeight="1" x14ac:dyDescent="0.15"/>
    <row r="2155" ht="15" customHeight="1" x14ac:dyDescent="0.15"/>
    <row r="2156" ht="15" customHeight="1" x14ac:dyDescent="0.15"/>
    <row r="2157" ht="15" customHeight="1" x14ac:dyDescent="0.15"/>
    <row r="2158" ht="15" customHeight="1" x14ac:dyDescent="0.15"/>
    <row r="2159" ht="15" customHeight="1" x14ac:dyDescent="0.15"/>
    <row r="2160" ht="15" customHeight="1" x14ac:dyDescent="0.15"/>
    <row r="2161" ht="15" customHeight="1" x14ac:dyDescent="0.15"/>
    <row r="2162" ht="15" customHeight="1" x14ac:dyDescent="0.15"/>
    <row r="2163" ht="15" customHeight="1" x14ac:dyDescent="0.15"/>
    <row r="2164" ht="15" customHeight="1" x14ac:dyDescent="0.15"/>
    <row r="2165" ht="15" customHeight="1" x14ac:dyDescent="0.15"/>
    <row r="2166" ht="15" customHeight="1" x14ac:dyDescent="0.15"/>
    <row r="2167" ht="15" customHeight="1" x14ac:dyDescent="0.15"/>
    <row r="2168" ht="15" customHeight="1" x14ac:dyDescent="0.15"/>
  </sheetData>
  <sheetProtection formatColumns="0" formatRows="0" insertRows="0" deleteColumns="0" deleteRows="0" sort="0" autoFilter="0"/>
  <mergeCells count="24">
    <mergeCell ref="A776:A1996"/>
    <mergeCell ref="E21:I21"/>
    <mergeCell ref="E22:I22"/>
    <mergeCell ref="A33:A82"/>
    <mergeCell ref="B34:B39"/>
    <mergeCell ref="A83:A85"/>
    <mergeCell ref="A109:A110"/>
    <mergeCell ref="A137:A145"/>
    <mergeCell ref="A146:A150"/>
    <mergeCell ref="A151:A153"/>
    <mergeCell ref="A154:A767"/>
    <mergeCell ref="A771:A775"/>
    <mergeCell ref="B40:B45"/>
    <mergeCell ref="B46:B51"/>
    <mergeCell ref="B52:B57"/>
    <mergeCell ref="B58:B63"/>
    <mergeCell ref="B64:B69"/>
    <mergeCell ref="B70:B75"/>
    <mergeCell ref="B76:B81"/>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110:AO110 H108:AO108 AP108 AP110"/>
    <dataValidation type="decimal" allowBlank="1" showErrorMessage="1" errorTitle="Ошибка" error="Введите значение от 0 до 100%" sqref="H145:AO145 H150:AO150 AP145 AP150">
      <formula1>0</formula1>
      <formula2>100</formula2>
    </dataValidation>
    <dataValidation type="decimal" allowBlank="1" showErrorMessage="1" errorTitle="Ошибка" error="Допускается ввод только действительных чисел!" sqref="H1384:AO1384 H776:AO776 H1992:AO1992 H130:AO135 AP130 AP131 AP132 AP133 AP134 AP135 AP776 AP1384 AP1992">
      <formula1>-9.99999999999999E+37</formula1>
      <formula2>9.99999999999999E+37</formula2>
    </dataValidation>
    <dataValidation type="decimal" allowBlank="1" showErrorMessage="1" errorTitle="Ошибка" error="Допускается ввод только действительных чисел!" sqref="H127:AO128 AP127 AP1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36:AO136 H1994:AO1996 AP136 AP1994 AP1995 AP1996">
      <formula1>900</formula1>
    </dataValidation>
    <dataValidation type="list" allowBlank="1" showInputMessage="1" showErrorMessage="1" errorTitle="Ошибка" error="Выберите значение из списка" prompt="Выберите значение из списка" sqref="G148">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58 F64 F70 F7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109:AO109 H111:AO111 H146:AO149 H1993:AO1993 H30:AO30 H32:AO33 H35:AO38 H82:AO107 H137:AO141 H17:AO17 H9:AO13 H15:AO15 H151:AO775 H129:AO129 H143:AO144 H4:AO6 AP4 AP5 AP6 AP9 AP10 AP11 AP12 AP13 AP15 AP17 AP30 AP32 AP33 AP35 AP36 AP37 AP38 AP82 AP83 AP84 AP85 AP86 AP87 AP88 AP89 AP90 AP91 AP92 AP93 AP94 AP95 AP96 AP97 AP98 AP99 AP100 AP101 AP102 AP103 AP104 AP105 AP106 AP107 AP109 AP111 AP129 AP137 AP138 AP139 AP140 AP141 AP143 AP144 AP146 AP147 AP148 AP149 AP151 AP152 AP153 AP154 AP155:AP756 AP757 AP758 AP759 AP760 AP761 AP762 AP763 AP764 AP765 AP766 AP767 AP768 AP769 AP770 AP771 AP772 AP773 AP774 AP775 AP1993 H42 I42 J42 K42 L42 M42 N42 O42 P42 Q42 R42 S42 T42 U42 V42 W42 X42 Y42 Z42 AA42 AB42 AC42 AD42 AE42 AF42 AG42 AH42 AI42 AJ42 AK42:AO42 AP42 H43 I43 J43 K43 L43 M43 N43 O43 P43 Q43 R43 S43 T43 U43 V43 W43 X43 Y43 Z43 AA43 AB43 AC43 AD43 AE43 AF43 AG43 AH43 AI43 AJ43 AK43:AO43 AP43 H44 I44 J44 K44 L44 M44 N44 O44 P44 Q44 R44 S44 T44 U44 V44 W44 X44 Y44 Z44 AA44 AB44 AC44 AD44 AE44 AF44 AG44 AH44 AI44 AJ44 AK44:AO44 AP44 H48 I48 J48 K48 L48 M48 N48 O48 P48 Q48 R48 S48 T48 U48 V48 W48 X48 Y48 Z48 AA48 AB48 AC48 AD48 AE48 AF48 AG48 AH48 AI48 AJ48 AK48:AO48 AP48 H49 I49 J49 K49 L49 M49 N49 O49 P49 Q49 R49 S49 T49 U49 V49 W49 X49 Y49 Z49 AA49 AB49 AC49 AD49 AE49 AF49 AG49 AH49 AI49 AJ49 AK49:AO49 AP49 H50 I50 J50 K50 L50 M50 N50 O50 P50 Q50 R50 S50 T50 U50 V50 W50 X50 Y50 Z50 AA50 AB50 AC50 AD50 AE50 AF50 AG50 AH50 AI50 AJ50 AK50:AO50 AP50 H54 I54 J54 K54 L54 M54 N54 O54 P54 Q54 R54 S54 T54 U54 V54 W54 X54 Y54 Z54 AA54 AB54 AC54 AD54 AE54 AF54 AG54 AH54 AI54 AJ54 AK54:AO54 AP54 H55 I55 J55 K55 L55 M55 N55 O55 P55 Q55 R55 S55 T55 U55 V55 W55 X55 Y55 Z55 AA55 AB55 AC55 AD55 AE55 AF55 AG55 AH55 AI55 AJ55 AK55:AO55 AP55 H56 I56 J56 K56 L56 M56 N56 O56 P56 Q56 R56 S56 T56 U56 V56 W56 X56 Y56 Z56 AA56 AB56 AC56 AD56 AE56 AF56 AG56 AH56 AI56 AJ56 AK56:AO56 AP56 H60 I60 J60 K60 L60 M60 N60 O60 P60 Q60 R60 S60 T60 U60 V60 W60 X60 Y60 Z60 AA60 AB60 AC60 AD60 AE60 AF60 AG60 AH60 AI60 AJ60 AK60:AO60 AP60 H61 I61 J61 K61 L61 M61 N61 O61 P61 Q61 R61 S61 T61 U61 V61 W61 X61 Y61 Z61 AA61 AB61 AC61 AD61 AE61 AF61 AG61 AH61 AI61 AJ61 AK61:AO61 AP61 H62 I62 J62 K62 L62 M62 N62 O62 P62 Q62 R62 S62 T62 U62 V62 W62 X62 Y62 Z62 AA62 AB62 AC62 AD62 AE62 AF62 AG62 AH62 AI62 AJ62 AK62:AO62 AP62 H66 I66 J66 K66 L66 M66 N66 O66 P66 Q66 R66 S66 T66 U66 V66 W66 X66 Y66 Z66 AA66 AB66 AC66 AD66 AE66 AF66 AG66 AH66 AI66 AJ66 AK66:AO66 AP66 H67 I67 J67 K67 L67 M67 N67 O67 P67 Q67 R67 S67 T67 U67 V67 W67 X67 Y67 Z67 AA67 AB67 AC67 AD67 AE67 AF67 AG67 AH67 AI67 AJ67 AK67:AO67 AP67 H68 I68 J68 K68 L68 M68 N68 O68 P68 Q68 R68 S68 T68 U68 V68 W68 X68 Y68 Z68 AA68 AB68 AC68 AD68 AE68 AF68 AG68 AH68 AI68 AJ68 AK68:AO68 AP68 H72 I72 J72 K72 L72 M72 N72 O72 P72 Q72 R72 S72 T72 U72 V72 W72 X72 Y72 Z72 AA72 AB72 AC72 AD72 AE72 AF72 AG72 AH72 AI72 AJ72 AK72:AO72 AP72 H73 I73 J73 K73 L73 M73 N73 O73 P73 Q73 R73 S73 T73 U73 V73 W73 X73 Y73 Z73 AA73 AB73 AC73 AD73 AE73 AF73 AG73 AH73 AI73 AJ73 AK73:AO73 AP73 H74 I74 J74 K74 L74 M74 N74 O74 P74 Q74 R74 S74 T74 U74 V74 W74 X74 Y74 Z74 AA74 AB74 AC74 AD74 AE74 AF74 AG74 AH74 AI74 AJ74 AK74:AO74 AP74 H78 I78 J78 K78 L78 M78 N78 O78 P78 Q78 R78 S78 T78 U78 V78 W78 X78 Y78 Z78 AA78 AB78 AC78 AD78 AE78 AF78 AG78 AH78 AI78 AJ78 AK78:AO78 AP78 H79 I79 J79 K79 L79 M79 N79 O79 P79 Q79 R79 S79 T79 U79 V79 W79 X79 Y79 Z79 AA79 AB79 AC79 AD79 AE79 AF79 AG79 AH79 AI79 AJ79 AK79:AO79 AP79 H80 I80 J80 K80 L80 M80 N80 O80 P80 Q80 R80 S80 T80 U80 V80 W80 X80 Y80 Z80 AA80 AB80 AC80 AD80 AE80 AF80 AG80 AH80 AI80 AJ80 AK80:AO80 AP80 H113:H125 I113:I125 J113:J125 K113:K125 L113:L125 M113:M125 N113:N125 O113:O125 P113:P125 Q113:Q125 R113:R125 S113:S125 T113:T125 U113:U125 V113:V125 W113:W125 X113:X125 Y113:Y125 Z113:Z125 AA113:AA125 AB113:AB125 AC113:AC125 AD113:AD125 AE113:AE125 AF113:AF125 AG113:AG125 AH113:AH125 AI113:AI125 AJ113:AJ125 AK113:AO125 AP113:AP125 H778:H1382 I778:I1382 J778:J1382 K778:K1382 L778:L1382 M778:M1382 N778:N1382 O778:O1382 P778:P1382 Q778:Q1382 R778:R1382 S778:S1382 T778:T1382 U778:U1382 V778:V1382 W778:W1382 X778:X1382 Y778:Y1382 Z778:Z1382 AA778:AA1382 AB778:AB1382 AC778:AC1382 AD778:AD1382 AE778:AE1382 AF778:AF1382 AG778:AG1382 AH778:AH1382 AI778:AI1382 AJ778:AJ1382 AK778:AK1382 AL778:AL1382 AM778:AM1382 AN778:AN1382 AO778:AO1382 AP778:AP1382 H1386:H1990 I1386:I1990 J1386:J1990 K1386:K1990 L1386:L1990 M1386:M1990 N1386:N1990 O1386:O1990 P1386:P1990 Q1386:Q1990 R1386:R1990 S1386:S1990 T1386:T1990 U1386:U1990 V1386:V1990 W1386:W1990 X1386:X1990 Y1386:Y1990 Z1386:Z1990 AA1386:AA1990 AB1386:AB1990 AC1386:AC1990 AD1386:AD1990 AE1386:AE1990 AF1386:AF1990 AG1386:AG1990 AH1386:AH1990 AI1386:AI1990 AJ1386:AJ1990 AK1386:AK1990 AL1386:AL1990 AM1386:AM1990 AN1386:AN1990 AO1386:AO1990 AP1386:AP199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O34 AK39:AO39 AJ39 AI39 AH39 AG39 AF39 AE39 AD39 AC39 AB39 AA39 Z39 Y39 X39 W39 V39 U39 T39 S39 R39 Q39 P39 O39 N39 M39 L39 K39 J39 I39 H39 AP34 AP39 G42 G48 G54 G60 G66 G72 G78">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AK112:AO112 AJ112 AI112 AH112 AG112 AF112 AE112 AD112 AC112 AB112 AA112 Z112 Y112 X112 W112 V112 U112 T112 S112 R112 Q112 P112 O112 N112 M112 L112 K112 J112 I112 H112 AP112">
      <formula1>900</formula1>
    </dataValidation>
    <dataValidation type="list" allowBlank="1" showInputMessage="1" showErrorMessage="1" errorTitle="Ошибка" error="Выберите значение из списка" prompt="Выберите значение из списка" sqref="H7:AO7 AP7 H45 H51 H57 H63 H69 H75 H81 I45 I51 I57 I63 I69 I75 I81 J45 J51 J57 J63 J69 J75 J81 K45 K51 K57 K63 K69 K75 K81 L45 L51 L57 L63 L69 L75 L81 M45 M51 M57 M63 M69 M75 M81 N45 N51 N57 N63 N69 N75 N81 O45 O51 O57 O63 O69 O75 O81 P45 P51 P57 P63 P69 P75 P81 Q45 Q51 Q57 Q63 Q69 Q75 Q81 R45 R51 R57 R63 R69 R75 R81 S45 S51 S57 S63 S69 S75 S81 T45 T51 T57 T63 T69 T75 T81 U45 U51 U57 U63 U69 U75 U81 V45 V51 V57 V63 V69 V75 V81 W45 W51 W57 W63 W69 W75 W81 X45 X51 X57 X63 X69 X75 X81 Y45 Y51 Y57 Y63 Y69 Y75 Y81 Z45 Z51 Z57 Z63 Z69 Z75 Z81 AA45 AA51 AA57 AA63 AA69 AA75 AA81 AB45 AB51 AB57 AB63 AB69 AB75 AB81 AC45 AC51 AC57 AC63 AC69 AC75 AC81 AD45 AD51 AD57 AD63 AD69 AD75 AD81 AE45 AE51 AE57 AE63 AE69 AE75 AE81 AF45 AF51 AF57 AF63 AF69 AF75 AF81 AG45 AG51 AG57 AG63 AG69 AG75 AG81 AH45 AH51 AH57 AH63 AH69 AH75 AH81 AI45 AI51 AI57 AI63 AI69 AI75 AI81 AJ45 AJ51 AJ57 AJ63 AJ69 AJ75 AJ81 AK45:AO45 AK51:AO51 AK57:AO57 AK63:AO63 AK69:AO69 AK75:AO75 AK81:AO81 AP45 AP51 AP57 AP63 AP69 AP75 AP81">
      <formula1>kind_of_purchase_method</formula1>
    </dataValidation>
  </dataValidations>
  <hyperlinks>
    <hyperlink ref="I136" r:id="rId1"/>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15"/>
  <sheetViews>
    <sheetView showGridLines="0" topLeftCell="C4" zoomScale="90" workbookViewId="0">
      <selection activeCell="A302" sqref="A302:CE310"/>
    </sheetView>
  </sheetViews>
  <sheetFormatPr defaultColWidth="9.140625" defaultRowHeight="11.25" customHeight="1" x14ac:dyDescent="0.15"/>
  <cols>
    <col min="1" max="1" width="14.7109375" hidden="1" customWidth="1"/>
    <col min="2" max="2" width="17" hidden="1" customWidth="1"/>
    <col min="3" max="3" width="3.7109375" customWidth="1"/>
    <col min="4" max="4" width="1.85546875" hidden="1" customWidth="1"/>
    <col min="5" max="6" width="7.7109375" customWidth="1"/>
    <col min="7" max="7" width="29.7109375" customWidth="1"/>
    <col min="8" max="8" width="3.7109375" customWidth="1"/>
    <col min="9" max="9" width="5.42578125" customWidth="1"/>
    <col min="10" max="10" width="24.5703125" customWidth="1"/>
    <col min="11" max="11" width="24.42578125" customWidth="1"/>
    <col min="12" max="12" width="3.7109375" customWidth="1"/>
    <col min="13" max="13" width="6.28515625" customWidth="1"/>
    <col min="14" max="14" width="25.85546875" customWidth="1"/>
    <col min="15" max="18" width="18.7109375" customWidth="1"/>
    <col min="19" max="19" width="93.42578125" customWidth="1"/>
    <col min="20" max="21" width="10.5703125" customWidth="1"/>
    <col min="22" max="22" width="11.7109375" customWidth="1"/>
    <col min="23" max="27" width="10.5703125" customWidth="1"/>
  </cols>
  <sheetData>
    <row r="1" spans="1:34" ht="11.25" hidden="1" customHeight="1" x14ac:dyDescent="0.15"/>
    <row r="2" spans="1:34" ht="11.25" hidden="1" customHeight="1" x14ac:dyDescent="0.15"/>
    <row r="3" spans="1:34" ht="11.25" hidden="1" customHeight="1" x14ac:dyDescent="0.15"/>
    <row r="4" spans="1:34" ht="3" customHeight="1" x14ac:dyDescent="0.15"/>
    <row r="5" spans="1:34" ht="33.75" customHeight="1" x14ac:dyDescent="0.15">
      <c r="E5" s="6" t="str">
        <f>FHD20_NAME_FORM</f>
        <v>Форма 11. Информация о расходах на капитальный и текущий ремонт основных средств</v>
      </c>
      <c r="F5" s="6"/>
      <c r="G5" s="6"/>
      <c r="H5" s="6"/>
      <c r="I5" s="6"/>
      <c r="J5" s="6"/>
      <c r="K5" s="6"/>
    </row>
    <row r="6" spans="1:34" ht="16.5" customHeight="1" x14ac:dyDescent="0.15">
      <c r="E6" s="6" t="str">
        <f>IF(org=0,"Не определено",org)</f>
        <v>КГУП "Примтеплоэнерго"</v>
      </c>
      <c r="F6" s="6"/>
      <c r="G6" s="6"/>
      <c r="H6" s="6"/>
      <c r="I6" s="6"/>
      <c r="J6" s="6"/>
      <c r="K6" s="6"/>
    </row>
    <row r="8" spans="1:34" ht="5.25" customHeight="1" x14ac:dyDescent="0.15"/>
    <row r="9" spans="1:34" ht="18.75" customHeight="1" x14ac:dyDescent="0.15">
      <c r="E9" s="6" t="s">
        <v>593</v>
      </c>
      <c r="F9" s="6"/>
      <c r="G9" s="6"/>
      <c r="H9" s="6"/>
      <c r="I9" s="6"/>
      <c r="J9" s="6"/>
      <c r="K9" s="6"/>
      <c r="L9" s="6"/>
      <c r="M9" s="6"/>
      <c r="N9" s="6"/>
      <c r="O9" s="6"/>
      <c r="P9" s="6"/>
      <c r="Q9" s="6"/>
      <c r="R9" s="6"/>
      <c r="S9" s="6" t="s">
        <v>594</v>
      </c>
    </row>
    <row r="10" spans="1:34" ht="33.75" customHeight="1" x14ac:dyDescent="0.15">
      <c r="D10" t="s">
        <v>75</v>
      </c>
      <c r="E10" s="6" t="s">
        <v>75</v>
      </c>
      <c r="F10" s="6"/>
      <c r="G10" t="s">
        <v>595</v>
      </c>
      <c r="H10" s="6" t="s">
        <v>75</v>
      </c>
      <c r="I10" s="6"/>
      <c r="J10" t="s">
        <v>3191</v>
      </c>
      <c r="K10" t="s">
        <v>3192</v>
      </c>
      <c r="L10" s="6" t="s">
        <v>75</v>
      </c>
      <c r="M10" s="6"/>
      <c r="N10" t="s">
        <v>3193</v>
      </c>
      <c r="O10" t="s">
        <v>3194</v>
      </c>
      <c r="P10" t="s">
        <v>3195</v>
      </c>
      <c r="Q10" t="s">
        <v>3196</v>
      </c>
      <c r="R10" t="s">
        <v>3197</v>
      </c>
      <c r="S10" s="6"/>
    </row>
    <row r="11" spans="1:34" ht="15" hidden="1" customHeight="1" x14ac:dyDescent="0.15">
      <c r="D11" t="s">
        <v>165</v>
      </c>
      <c r="F11" t="s">
        <v>89</v>
      </c>
      <c r="G11" t="s">
        <v>77</v>
      </c>
      <c r="I11" t="s">
        <v>78</v>
      </c>
      <c r="J11" t="s">
        <v>100</v>
      </c>
      <c r="K11" t="s">
        <v>79</v>
      </c>
      <c r="M11" t="s">
        <v>80</v>
      </c>
      <c r="N11" t="s">
        <v>102</v>
      </c>
      <c r="O11" t="s">
        <v>133</v>
      </c>
      <c r="P11" t="s">
        <v>106</v>
      </c>
      <c r="Q11" t="s">
        <v>163</v>
      </c>
      <c r="R11" t="s">
        <v>109</v>
      </c>
      <c r="S11" t="s">
        <v>112</v>
      </c>
    </row>
    <row r="12" spans="1:34" ht="0.75" customHeight="1" x14ac:dyDescent="0.15"/>
    <row r="13" spans="1:34" ht="0.75" customHeight="1" x14ac:dyDescent="0.15">
      <c r="D13" t="s">
        <v>671</v>
      </c>
    </row>
    <row r="14" spans="1:34" ht="15" hidden="1" customHeight="1" x14ac:dyDescent="0.15">
      <c r="A14" t="s">
        <v>364</v>
      </c>
      <c r="D14" s="6" t="s">
        <v>165</v>
      </c>
      <c r="E14" s="6" t="s">
        <v>355</v>
      </c>
      <c r="F14" s="6"/>
      <c r="G14" s="6"/>
      <c r="H14" s="6" t="str">
        <f>IF(A14="","",INDEX(DIFFERENTIATION_UNMERGE_VD,MATCH(A14,DIFFERENTIATION_ID_DIFF,0)))</f>
        <v>Производство тепловой энергии. Некомбинированная выработка</v>
      </c>
      <c r="I14" s="6"/>
      <c r="J14" s="6"/>
      <c r="K14" s="6"/>
      <c r="L14" s="6"/>
      <c r="M14" s="6"/>
      <c r="N14" s="6"/>
      <c r="O14" s="6"/>
      <c r="P14" s="6"/>
      <c r="Q14" s="6"/>
      <c r="R14" s="6"/>
      <c r="AC14" s="6"/>
      <c r="AE14" t="s">
        <v>4</v>
      </c>
      <c r="AG14" t="s">
        <v>1679</v>
      </c>
      <c r="AH14">
        <v>3</v>
      </c>
    </row>
    <row r="15" spans="1:34" ht="15" hidden="1" customHeight="1" x14ac:dyDescent="0.15">
      <c r="D15" s="6"/>
      <c r="E15" s="6" t="s">
        <v>1680</v>
      </c>
      <c r="F15" s="6"/>
      <c r="G15" s="6"/>
      <c r="H15" s="6" t="str">
        <f>IF(A14="","",INDEX(DIFFERENTIATION_UNMERGE_AREA,MATCH(A14,DIFFERENTIATION_ID_DIFF,0)))</f>
        <v>без дифференциации</v>
      </c>
      <c r="I15" s="6"/>
      <c r="J15" s="6"/>
      <c r="K15" s="6"/>
      <c r="L15" s="6"/>
      <c r="M15" s="6"/>
      <c r="N15" s="6"/>
      <c r="O15" s="6"/>
      <c r="P15" s="6"/>
      <c r="Q15" s="6"/>
      <c r="R15" s="6"/>
      <c r="AC15" s="6"/>
    </row>
    <row r="16" spans="1:34" ht="15" hidden="1" customHeight="1" x14ac:dyDescent="0.15">
      <c r="D16" s="6"/>
      <c r="E16" s="6" t="s">
        <v>1681</v>
      </c>
      <c r="F16" s="6"/>
      <c r="G16" s="6"/>
      <c r="H16" s="6" t="str">
        <f>IF(A14="","",INDEX(DIFFERENTIATION_UNMERGE_SYSTEM,MATCH(A14,DIFFERENTIATION_ID_DIFF,0)))</f>
        <v>Единый тариф на тепловую энергию по Приморскому краю</v>
      </c>
      <c r="I16" s="6"/>
      <c r="J16" s="6"/>
      <c r="K16" s="6"/>
      <c r="L16" s="6"/>
      <c r="M16" s="6"/>
      <c r="N16" s="6"/>
      <c r="O16" s="6"/>
      <c r="P16" s="6"/>
      <c r="Q16" s="6"/>
      <c r="R16" s="6"/>
      <c r="AC16" s="6"/>
    </row>
    <row r="17" spans="1:34" ht="22.5" hidden="1" customHeight="1" x14ac:dyDescent="0.15">
      <c r="D17" s="6"/>
      <c r="E17" s="6" t="s">
        <v>1682</v>
      </c>
      <c r="F17" s="6"/>
      <c r="G17" s="6"/>
      <c r="H17" s="6"/>
      <c r="I17" s="6"/>
      <c r="J17" s="6"/>
      <c r="K17" s="6"/>
      <c r="L17" s="6"/>
      <c r="M17" s="6"/>
      <c r="N17" s="6"/>
      <c r="O17" s="6"/>
      <c r="P17" s="6"/>
      <c r="Q17">
        <f>SUMIF(T18:T19,"i",Q18:Q19)</f>
        <v>0</v>
      </c>
      <c r="S17" t="s">
        <v>1683</v>
      </c>
      <c r="T17" t="s">
        <v>1684</v>
      </c>
      <c r="U17" s="6">
        <v>1</v>
      </c>
      <c r="V17" s="6" t="str">
        <f>INDEX(B_FHD_FLAG_INDEX_1,1,MATCH(A14,B_FHD_FLAG_DIFFERENTIATION,0))</f>
        <v>отсутствует</v>
      </c>
      <c r="AC17" s="6"/>
    </row>
    <row r="18" spans="1:34" ht="11.25" hidden="1" customHeight="1" x14ac:dyDescent="0.15">
      <c r="D18" s="6"/>
      <c r="F18">
        <v>0</v>
      </c>
      <c r="U18" s="6"/>
      <c r="V18" s="6"/>
      <c r="AC18" s="6"/>
    </row>
    <row r="19" spans="1:34" ht="11.25" hidden="1" customHeight="1" x14ac:dyDescent="0.15">
      <c r="D19" s="6"/>
      <c r="E19" t="s">
        <v>4</v>
      </c>
      <c r="F19" t="s">
        <v>4</v>
      </c>
      <c r="G19" t="s">
        <v>4</v>
      </c>
      <c r="H19" t="s">
        <v>4</v>
      </c>
      <c r="U19" s="6"/>
      <c r="V19" s="6"/>
      <c r="AC19" s="6"/>
    </row>
    <row r="20" spans="1:34" ht="22.5" hidden="1" customHeight="1" x14ac:dyDescent="0.15">
      <c r="D20" s="6"/>
      <c r="E20" s="6" t="s">
        <v>1687</v>
      </c>
      <c r="F20" s="6"/>
      <c r="G20" s="6"/>
      <c r="H20" s="6"/>
      <c r="I20" s="6"/>
      <c r="J20" s="6"/>
      <c r="K20" s="6"/>
      <c r="L20" s="6"/>
      <c r="M20" s="6"/>
      <c r="N20" s="6"/>
      <c r="O20" s="6"/>
      <c r="P20" s="6"/>
      <c r="Q20">
        <f>SUMIF(T21:T22,"i",Q21:Q22)</f>
        <v>0</v>
      </c>
      <c r="S20" t="s">
        <v>1688</v>
      </c>
      <c r="T20" t="s">
        <v>1684</v>
      </c>
      <c r="U20" s="6">
        <v>2</v>
      </c>
      <c r="V20" s="6" t="str">
        <f>INDEX(B_FHD_FLAG_INDEX_2,1,MATCH(A14,B_FHD_FLAG_DIFFERENTIATION,0))</f>
        <v>отсутствует</v>
      </c>
    </row>
    <row r="21" spans="1:34" ht="11.25" hidden="1" customHeight="1" x14ac:dyDescent="0.15">
      <c r="D21" s="6"/>
      <c r="F21">
        <v>0</v>
      </c>
      <c r="U21" s="6"/>
      <c r="V21" s="6"/>
    </row>
    <row r="22" spans="1:34" ht="11.25" hidden="1" customHeight="1" x14ac:dyDescent="0.15">
      <c r="D22" s="6"/>
      <c r="E22" t="s">
        <v>4</v>
      </c>
      <c r="F22" t="s">
        <v>4</v>
      </c>
      <c r="G22" t="s">
        <v>4</v>
      </c>
      <c r="H22" t="s">
        <v>4</v>
      </c>
      <c r="U22" s="6"/>
      <c r="V22" s="6"/>
    </row>
    <row r="23" spans="1:34" ht="15" hidden="1" customHeight="1" x14ac:dyDescent="0.15">
      <c r="A23" t="s">
        <v>368</v>
      </c>
      <c r="C23" t="s">
        <v>4</v>
      </c>
      <c r="D23" s="6" t="s">
        <v>163</v>
      </c>
      <c r="E23" s="6" t="s">
        <v>355</v>
      </c>
      <c r="F23" s="6"/>
      <c r="G23" s="6"/>
      <c r="H23" s="6" t="str">
        <f>IF(A23="","",INDEX(DIFFERENTIATION_UNMERGE_VD,MATCH(A23,DIFFERENTIATION_ID_DIFF,0)))</f>
        <v>Производство тепловой энергии. Некомбинированная выработка</v>
      </c>
      <c r="I23" s="6"/>
      <c r="J23" s="6"/>
      <c r="K23" s="6"/>
      <c r="L23" s="6"/>
      <c r="M23" s="6"/>
      <c r="N23" s="6"/>
      <c r="O23" s="6"/>
      <c r="P23" s="6"/>
      <c r="Q23" s="6"/>
      <c r="R23" s="6"/>
      <c r="AC23" s="6"/>
      <c r="AE23" t="s">
        <v>4</v>
      </c>
      <c r="AG23" t="s">
        <v>1679</v>
      </c>
      <c r="AH23">
        <v>3</v>
      </c>
    </row>
    <row r="24" spans="1:34" ht="15" hidden="1" customHeight="1" x14ac:dyDescent="0.15">
      <c r="D24" s="6"/>
      <c r="E24" s="6" t="s">
        <v>1680</v>
      </c>
      <c r="F24" s="6"/>
      <c r="G24" s="6"/>
      <c r="H24" s="6" t="str">
        <f>IF(A23="","",INDEX(DIFFERENTIATION_UNMERGE_AREA,MATCH(A23,DIFFERENTIATION_ID_DIFF,0)))</f>
        <v>без дифференциации</v>
      </c>
      <c r="I24" s="6"/>
      <c r="J24" s="6"/>
      <c r="K24" s="6"/>
      <c r="L24" s="6"/>
      <c r="M24" s="6"/>
      <c r="N24" s="6"/>
      <c r="O24" s="6"/>
      <c r="P24" s="6"/>
      <c r="Q24" s="6"/>
      <c r="R24" s="6"/>
      <c r="AC24" s="6"/>
    </row>
    <row r="25" spans="1:34" ht="15" hidden="1" customHeight="1" x14ac:dyDescent="0.15">
      <c r="D25" s="6"/>
      <c r="E25" s="6" t="s">
        <v>1681</v>
      </c>
      <c r="F25" s="6"/>
      <c r="G25" s="6"/>
      <c r="H25" s="6" t="str">
        <f>IF(A23="","",INDEX(DIFFERENTIATION_UNMERGE_SYSTEM,MATCH(A23,DIFFERENTIATION_ID_DIFF,0)))</f>
        <v>Тариф на тепловую энергию по Арсеньевскому ГО</v>
      </c>
      <c r="I25" s="6"/>
      <c r="J25" s="6"/>
      <c r="K25" s="6"/>
      <c r="L25" s="6"/>
      <c r="M25" s="6"/>
      <c r="N25" s="6"/>
      <c r="O25" s="6"/>
      <c r="P25" s="6"/>
      <c r="Q25" s="6"/>
      <c r="R25" s="6"/>
      <c r="AC25" s="6"/>
    </row>
    <row r="26" spans="1:34" ht="24.75" hidden="1" customHeight="1" x14ac:dyDescent="0.15">
      <c r="D26" s="6"/>
      <c r="E26" s="6" t="s">
        <v>1682</v>
      </c>
      <c r="F26" s="6"/>
      <c r="G26" s="6"/>
      <c r="H26" s="6"/>
      <c r="I26" s="6"/>
      <c r="J26" s="6"/>
      <c r="K26" s="6"/>
      <c r="L26" s="6"/>
      <c r="M26" s="6"/>
      <c r="N26" s="6"/>
      <c r="O26" s="6"/>
      <c r="P26" s="6"/>
      <c r="Q26">
        <f>SUMIF(T27:T28,"i",Q27:Q28)</f>
        <v>0</v>
      </c>
      <c r="S26" t="s">
        <v>1683</v>
      </c>
      <c r="T26" t="s">
        <v>1684</v>
      </c>
      <c r="U26" s="6">
        <v>1</v>
      </c>
      <c r="V26" s="6" t="s">
        <v>1685</v>
      </c>
      <c r="AC26" s="6"/>
    </row>
    <row r="27" spans="1:34" ht="11.25" hidden="1" customHeight="1" x14ac:dyDescent="0.15">
      <c r="D27" s="6"/>
      <c r="F27">
        <v>0</v>
      </c>
      <c r="U27" s="6"/>
      <c r="V27" s="6"/>
      <c r="AC27" s="6"/>
    </row>
    <row r="28" spans="1:34" ht="11.25" hidden="1" customHeight="1" x14ac:dyDescent="0.15">
      <c r="D28" s="6"/>
      <c r="E28" t="s">
        <v>4</v>
      </c>
      <c r="F28" t="s">
        <v>4</v>
      </c>
      <c r="G28" t="s">
        <v>1686</v>
      </c>
      <c r="H28" t="s">
        <v>4</v>
      </c>
      <c r="U28" s="6"/>
      <c r="V28" s="6"/>
      <c r="AC28" s="6"/>
    </row>
    <row r="29" spans="1:34" ht="5.25" hidden="1" customHeight="1" x14ac:dyDescent="0.15">
      <c r="D29" s="6"/>
      <c r="T29" t="s">
        <v>1684</v>
      </c>
      <c r="U29" s="6">
        <v>1</v>
      </c>
      <c r="V29" s="6" t="s">
        <v>1685</v>
      </c>
    </row>
    <row r="30" spans="1:34" ht="5.25" hidden="1" customHeight="1" x14ac:dyDescent="0.15">
      <c r="D30" s="6"/>
      <c r="U30" s="6"/>
      <c r="V30" s="6"/>
    </row>
    <row r="31" spans="1:34" ht="5.25" hidden="1" customHeight="1" x14ac:dyDescent="0.15">
      <c r="D31" s="6"/>
      <c r="U31" s="6"/>
      <c r="V31" s="6"/>
    </row>
    <row r="32" spans="1:34" ht="15" hidden="1" customHeight="1" x14ac:dyDescent="0.15">
      <c r="A32" t="s">
        <v>370</v>
      </c>
      <c r="C32" t="s">
        <v>4</v>
      </c>
      <c r="D32" s="6" t="s">
        <v>3198</v>
      </c>
      <c r="E32" s="6" t="s">
        <v>355</v>
      </c>
      <c r="F32" s="6"/>
      <c r="G32" s="6"/>
      <c r="H32" s="6" t="str">
        <f>IF(A32="","",INDEX(DIFFERENTIATION_UNMERGE_VD,MATCH(A32,DIFFERENTIATION_ID_DIFF,0)))</f>
        <v>Производство тепловой энергии. Некомбинированная выработка</v>
      </c>
      <c r="I32" s="6"/>
      <c r="J32" s="6"/>
      <c r="K32" s="6"/>
      <c r="L32" s="6"/>
      <c r="M32" s="6"/>
      <c r="N32" s="6"/>
      <c r="O32" s="6"/>
      <c r="P32" s="6"/>
      <c r="Q32" s="6"/>
      <c r="R32" s="6"/>
      <c r="AC32" s="6"/>
      <c r="AE32" t="s">
        <v>4</v>
      </c>
      <c r="AG32" t="s">
        <v>1679</v>
      </c>
      <c r="AH32">
        <v>3</v>
      </c>
    </row>
    <row r="33" spans="1:34" ht="15" hidden="1" customHeight="1" x14ac:dyDescent="0.15">
      <c r="D33" s="6"/>
      <c r="E33" s="6" t="s">
        <v>1680</v>
      </c>
      <c r="F33" s="6"/>
      <c r="G33" s="6"/>
      <c r="H33" s="6" t="str">
        <f>IF(A32="","",INDEX(DIFFERENTIATION_UNMERGE_AREA,MATCH(A32,DIFFERENTIATION_ID_DIFF,0)))</f>
        <v>без дифференциации</v>
      </c>
      <c r="I33" s="6"/>
      <c r="J33" s="6"/>
      <c r="K33" s="6"/>
      <c r="L33" s="6"/>
      <c r="M33" s="6"/>
      <c r="N33" s="6"/>
      <c r="O33" s="6"/>
      <c r="P33" s="6"/>
      <c r="Q33" s="6"/>
      <c r="R33" s="6"/>
      <c r="AC33" s="6"/>
    </row>
    <row r="34" spans="1:34" ht="15" hidden="1" customHeight="1" x14ac:dyDescent="0.15">
      <c r="D34" s="6"/>
      <c r="E34" s="6" t="s">
        <v>1681</v>
      </c>
      <c r="F34" s="6"/>
      <c r="G34" s="6"/>
      <c r="H34" s="6" t="str">
        <f>IF(A32="","",INDEX(DIFFERENTIATION_UNMERGE_SYSTEM,MATCH(A32,DIFFERENTIATION_ID_DIFF,0)))</f>
        <v xml:space="preserve">Тариф на тепловую энергию по городскому округгу Большой Камень
</v>
      </c>
      <c r="I34" s="6"/>
      <c r="J34" s="6"/>
      <c r="K34" s="6"/>
      <c r="L34" s="6"/>
      <c r="M34" s="6"/>
      <c r="N34" s="6"/>
      <c r="O34" s="6"/>
      <c r="P34" s="6"/>
      <c r="Q34" s="6"/>
      <c r="R34" s="6"/>
      <c r="AC34" s="6"/>
    </row>
    <row r="35" spans="1:34" ht="24.75" hidden="1" customHeight="1" x14ac:dyDescent="0.15">
      <c r="D35" s="6"/>
      <c r="E35" s="6" t="s">
        <v>1682</v>
      </c>
      <c r="F35" s="6"/>
      <c r="G35" s="6"/>
      <c r="H35" s="6"/>
      <c r="I35" s="6"/>
      <c r="J35" s="6"/>
      <c r="K35" s="6"/>
      <c r="L35" s="6"/>
      <c r="M35" s="6"/>
      <c r="N35" s="6"/>
      <c r="O35" s="6"/>
      <c r="P35" s="6"/>
      <c r="Q35">
        <f>SUMIF(T36:T37,"i",Q36:Q37)</f>
        <v>0</v>
      </c>
      <c r="S35" t="s">
        <v>1683</v>
      </c>
      <c r="T35" t="s">
        <v>1684</v>
      </c>
      <c r="U35" s="6">
        <v>1</v>
      </c>
      <c r="V35" s="6" t="s">
        <v>1685</v>
      </c>
      <c r="AC35" s="6"/>
    </row>
    <row r="36" spans="1:34" ht="11.25" hidden="1" customHeight="1" x14ac:dyDescent="0.15">
      <c r="D36" s="6"/>
      <c r="F36">
        <v>0</v>
      </c>
      <c r="U36" s="6"/>
      <c r="V36" s="6"/>
      <c r="AC36" s="6"/>
    </row>
    <row r="37" spans="1:34" ht="11.25" hidden="1" customHeight="1" x14ac:dyDescent="0.15">
      <c r="D37" s="6"/>
      <c r="E37" t="s">
        <v>4</v>
      </c>
      <c r="F37" t="s">
        <v>4</v>
      </c>
      <c r="G37" t="s">
        <v>1686</v>
      </c>
      <c r="H37" t="s">
        <v>4</v>
      </c>
      <c r="U37" s="6"/>
      <c r="V37" s="6"/>
      <c r="AC37" s="6"/>
    </row>
    <row r="38" spans="1:34" ht="5.25" hidden="1" customHeight="1" x14ac:dyDescent="0.15">
      <c r="D38" s="6"/>
      <c r="T38" t="s">
        <v>1684</v>
      </c>
      <c r="U38" s="6">
        <v>1</v>
      </c>
      <c r="V38" s="6" t="s">
        <v>1685</v>
      </c>
    </row>
    <row r="39" spans="1:34" ht="5.25" hidden="1" customHeight="1" x14ac:dyDescent="0.15">
      <c r="D39" s="6"/>
      <c r="U39" s="6"/>
      <c r="V39" s="6"/>
    </row>
    <row r="40" spans="1:34" ht="5.25" hidden="1" customHeight="1" x14ac:dyDescent="0.15">
      <c r="D40" s="6"/>
      <c r="U40" s="6"/>
      <c r="V40" s="6"/>
    </row>
    <row r="41" spans="1:34" ht="15" hidden="1" customHeight="1" x14ac:dyDescent="0.15">
      <c r="A41" t="s">
        <v>372</v>
      </c>
      <c r="C41" t="s">
        <v>4</v>
      </c>
      <c r="D41" s="6" t="s">
        <v>3199</v>
      </c>
      <c r="E41" s="6" t="s">
        <v>355</v>
      </c>
      <c r="F41" s="6"/>
      <c r="G41" s="6"/>
      <c r="H41" s="6" t="str">
        <f>IF(A41="","",INDEX(DIFFERENTIATION_UNMERGE_VD,MATCH(A41,DIFFERENTIATION_ID_DIFF,0)))</f>
        <v>Производство тепловой энергии. Некомбинированная выработка</v>
      </c>
      <c r="I41" s="6"/>
      <c r="J41" s="6"/>
      <c r="K41" s="6"/>
      <c r="L41" s="6"/>
      <c r="M41" s="6"/>
      <c r="N41" s="6"/>
      <c r="O41" s="6"/>
      <c r="P41" s="6"/>
      <c r="Q41" s="6"/>
      <c r="R41" s="6"/>
      <c r="AC41" s="6"/>
      <c r="AE41" t="s">
        <v>4</v>
      </c>
      <c r="AG41" t="s">
        <v>1679</v>
      </c>
      <c r="AH41">
        <v>3</v>
      </c>
    </row>
    <row r="42" spans="1:34" ht="15" hidden="1" customHeight="1" x14ac:dyDescent="0.15">
      <c r="D42" s="6"/>
      <c r="E42" s="6" t="s">
        <v>1680</v>
      </c>
      <c r="F42" s="6"/>
      <c r="G42" s="6"/>
      <c r="H42" s="6" t="str">
        <f>IF(A41="","",INDEX(DIFFERENTIATION_UNMERGE_AREA,MATCH(A41,DIFFERENTIATION_ID_DIFF,0)))</f>
        <v>без дифференциации</v>
      </c>
      <c r="I42" s="6"/>
      <c r="J42" s="6"/>
      <c r="K42" s="6"/>
      <c r="L42" s="6"/>
      <c r="M42" s="6"/>
      <c r="N42" s="6"/>
      <c r="O42" s="6"/>
      <c r="P42" s="6"/>
      <c r="Q42" s="6"/>
      <c r="R42" s="6"/>
      <c r="AC42" s="6"/>
    </row>
    <row r="43" spans="1:34" ht="15" hidden="1" customHeight="1" x14ac:dyDescent="0.15">
      <c r="D43" s="6"/>
      <c r="E43" s="6" t="s">
        <v>1681</v>
      </c>
      <c r="F43" s="6"/>
      <c r="G43" s="6"/>
      <c r="H43" s="6" t="str">
        <f>IF(A41="","",INDEX(DIFFERENTIATION_UNMERGE_SYSTEM,MATCH(A41,DIFFERENTIATION_ID_DIFF,0)))</f>
        <v>ГВС-открытая система на территории Артемовский городской округ, Артемовский городской округ (05705000)</v>
      </c>
      <c r="I43" s="6"/>
      <c r="J43" s="6"/>
      <c r="K43" s="6"/>
      <c r="L43" s="6"/>
      <c r="M43" s="6"/>
      <c r="N43" s="6"/>
      <c r="O43" s="6"/>
      <c r="P43" s="6"/>
      <c r="Q43" s="6"/>
      <c r="R43" s="6"/>
      <c r="AC43" s="6"/>
    </row>
    <row r="44" spans="1:34" ht="24.75" hidden="1" customHeight="1" x14ac:dyDescent="0.15">
      <c r="D44" s="6"/>
      <c r="E44" s="6" t="s">
        <v>1682</v>
      </c>
      <c r="F44" s="6"/>
      <c r="G44" s="6"/>
      <c r="H44" s="6"/>
      <c r="I44" s="6"/>
      <c r="J44" s="6"/>
      <c r="K44" s="6"/>
      <c r="L44" s="6"/>
      <c r="M44" s="6"/>
      <c r="N44" s="6"/>
      <c r="O44" s="6"/>
      <c r="P44" s="6"/>
      <c r="Q44">
        <f>SUMIF(T45:T46,"i",Q45:Q46)</f>
        <v>0</v>
      </c>
      <c r="S44" t="s">
        <v>1683</v>
      </c>
      <c r="T44" t="s">
        <v>1684</v>
      </c>
      <c r="U44" s="6">
        <v>1</v>
      </c>
      <c r="V44" s="6" t="s">
        <v>1685</v>
      </c>
      <c r="AC44" s="6"/>
    </row>
    <row r="45" spans="1:34" ht="11.25" hidden="1" customHeight="1" x14ac:dyDescent="0.15">
      <c r="D45" s="6"/>
      <c r="F45">
        <v>0</v>
      </c>
      <c r="U45" s="6"/>
      <c r="V45" s="6"/>
      <c r="AC45" s="6"/>
    </row>
    <row r="46" spans="1:34" ht="11.25" hidden="1" customHeight="1" x14ac:dyDescent="0.15">
      <c r="D46" s="6"/>
      <c r="E46" t="s">
        <v>4</v>
      </c>
      <c r="F46" t="s">
        <v>4</v>
      </c>
      <c r="G46" t="s">
        <v>1686</v>
      </c>
      <c r="H46" t="s">
        <v>4</v>
      </c>
      <c r="U46" s="6"/>
      <c r="V46" s="6"/>
      <c r="AC46" s="6"/>
    </row>
    <row r="47" spans="1:34" ht="5.25" hidden="1" customHeight="1" x14ac:dyDescent="0.15">
      <c r="D47" s="6"/>
      <c r="T47" t="s">
        <v>1684</v>
      </c>
      <c r="U47" s="6">
        <v>1</v>
      </c>
      <c r="V47" s="6" t="s">
        <v>1685</v>
      </c>
    </row>
    <row r="48" spans="1:34" ht="5.25" hidden="1" customHeight="1" x14ac:dyDescent="0.15">
      <c r="D48" s="6"/>
      <c r="U48" s="6"/>
      <c r="V48" s="6"/>
    </row>
    <row r="49" spans="1:34" ht="5.25" hidden="1" customHeight="1" x14ac:dyDescent="0.15">
      <c r="D49" s="6"/>
      <c r="U49" s="6"/>
      <c r="V49" s="6"/>
    </row>
    <row r="50" spans="1:34" ht="15" hidden="1" customHeight="1" x14ac:dyDescent="0.15">
      <c r="A50" t="s">
        <v>374</v>
      </c>
      <c r="C50" t="s">
        <v>4</v>
      </c>
      <c r="D50" s="6" t="s">
        <v>3200</v>
      </c>
      <c r="E50" s="6" t="s">
        <v>355</v>
      </c>
      <c r="F50" s="6"/>
      <c r="G50" s="6"/>
      <c r="H50" s="6" t="str">
        <f>IF(A50="","",INDEX(DIFFERENTIATION_UNMERGE_VD,MATCH(A50,DIFFERENTIATION_ID_DIFF,0)))</f>
        <v>Производство тепловой энергии. Некомбинированная выработка</v>
      </c>
      <c r="I50" s="6"/>
      <c r="J50" s="6"/>
      <c r="K50" s="6"/>
      <c r="L50" s="6"/>
      <c r="M50" s="6"/>
      <c r="N50" s="6"/>
      <c r="O50" s="6"/>
      <c r="P50" s="6"/>
      <c r="Q50" s="6"/>
      <c r="R50" s="6"/>
      <c r="AC50" s="6"/>
      <c r="AE50" t="s">
        <v>4</v>
      </c>
      <c r="AG50" t="s">
        <v>1679</v>
      </c>
      <c r="AH50">
        <v>3</v>
      </c>
    </row>
    <row r="51" spans="1:34" ht="15" hidden="1" customHeight="1" x14ac:dyDescent="0.15">
      <c r="D51" s="6"/>
      <c r="E51" s="6" t="s">
        <v>1680</v>
      </c>
      <c r="F51" s="6"/>
      <c r="G51" s="6"/>
      <c r="H51" s="6" t="str">
        <f>IF(A50="","",INDEX(DIFFERENTIATION_UNMERGE_AREA,MATCH(A50,DIFFERENTIATION_ID_DIFF,0)))</f>
        <v>без дифференциации</v>
      </c>
      <c r="I51" s="6"/>
      <c r="J51" s="6"/>
      <c r="K51" s="6"/>
      <c r="L51" s="6"/>
      <c r="M51" s="6"/>
      <c r="N51" s="6"/>
      <c r="O51" s="6"/>
      <c r="P51" s="6"/>
      <c r="Q51" s="6"/>
      <c r="R51" s="6"/>
      <c r="AC51" s="6"/>
    </row>
    <row r="52" spans="1:34" ht="15" hidden="1" customHeight="1" x14ac:dyDescent="0.15">
      <c r="D52" s="6"/>
      <c r="E52" s="6" t="s">
        <v>1681</v>
      </c>
      <c r="F52" s="6"/>
      <c r="G52" s="6"/>
      <c r="H52" s="6" t="str">
        <f>IF(A50="","",INDEX(DIFFERENTIATION_UNMERGE_SYSTEM,MATCH(A50,DIFFERENTIATION_ID_DIFF,0)))</f>
        <v>ГВС-открытая система на территории Дальнегорский городской округ, Дальнегорский городской округ (05707000);</v>
      </c>
      <c r="I52" s="6"/>
      <c r="J52" s="6"/>
      <c r="K52" s="6"/>
      <c r="L52" s="6"/>
      <c r="M52" s="6"/>
      <c r="N52" s="6"/>
      <c r="O52" s="6"/>
      <c r="P52" s="6"/>
      <c r="Q52" s="6"/>
      <c r="R52" s="6"/>
      <c r="AC52" s="6"/>
    </row>
    <row r="53" spans="1:34" ht="24.75" hidden="1" customHeight="1" x14ac:dyDescent="0.15">
      <c r="D53" s="6"/>
      <c r="E53" s="6" t="s">
        <v>1682</v>
      </c>
      <c r="F53" s="6"/>
      <c r="G53" s="6"/>
      <c r="H53" s="6"/>
      <c r="I53" s="6"/>
      <c r="J53" s="6"/>
      <c r="K53" s="6"/>
      <c r="L53" s="6"/>
      <c r="M53" s="6"/>
      <c r="N53" s="6"/>
      <c r="O53" s="6"/>
      <c r="P53" s="6"/>
      <c r="Q53">
        <f>SUMIF(T54:T55,"i",Q54:Q55)</f>
        <v>0</v>
      </c>
      <c r="S53" t="s">
        <v>1683</v>
      </c>
      <c r="T53" t="s">
        <v>1684</v>
      </c>
      <c r="U53" s="6">
        <v>1</v>
      </c>
      <c r="V53" s="6" t="s">
        <v>1685</v>
      </c>
      <c r="AC53" s="6"/>
    </row>
    <row r="54" spans="1:34" ht="11.25" hidden="1" customHeight="1" x14ac:dyDescent="0.15">
      <c r="D54" s="6"/>
      <c r="F54">
        <v>0</v>
      </c>
      <c r="U54" s="6"/>
      <c r="V54" s="6"/>
      <c r="AC54" s="6"/>
    </row>
    <row r="55" spans="1:34" ht="11.25" hidden="1" customHeight="1" x14ac:dyDescent="0.15">
      <c r="D55" s="6"/>
      <c r="E55" t="s">
        <v>4</v>
      </c>
      <c r="F55" t="s">
        <v>4</v>
      </c>
      <c r="G55" t="s">
        <v>1686</v>
      </c>
      <c r="H55" t="s">
        <v>4</v>
      </c>
      <c r="U55" s="6"/>
      <c r="V55" s="6"/>
      <c r="AC55" s="6"/>
    </row>
    <row r="56" spans="1:34" ht="5.25" hidden="1" customHeight="1" x14ac:dyDescent="0.15">
      <c r="D56" s="6"/>
      <c r="T56" t="s">
        <v>1684</v>
      </c>
      <c r="U56" s="6">
        <v>1</v>
      </c>
      <c r="V56" s="6" t="s">
        <v>1685</v>
      </c>
    </row>
    <row r="57" spans="1:34" ht="5.25" hidden="1" customHeight="1" x14ac:dyDescent="0.15">
      <c r="D57" s="6"/>
      <c r="U57" s="6"/>
      <c r="V57" s="6"/>
    </row>
    <row r="58" spans="1:34" ht="5.25" hidden="1" customHeight="1" x14ac:dyDescent="0.15">
      <c r="D58" s="6"/>
      <c r="U58" s="6"/>
      <c r="V58" s="6"/>
    </row>
    <row r="59" spans="1:34" ht="15" hidden="1" customHeight="1" x14ac:dyDescent="0.15">
      <c r="A59" t="s">
        <v>376</v>
      </c>
      <c r="C59" t="s">
        <v>4</v>
      </c>
      <c r="D59" s="6" t="s">
        <v>3201</v>
      </c>
      <c r="E59" s="6" t="s">
        <v>355</v>
      </c>
      <c r="F59" s="6"/>
      <c r="G59" s="6"/>
      <c r="H59" s="6" t="str">
        <f>IF(A59="","",INDEX(DIFFERENTIATION_UNMERGE_VD,MATCH(A59,DIFFERENTIATION_ID_DIFF,0)))</f>
        <v>Производство тепловой энергии. Некомбинированная выработка</v>
      </c>
      <c r="I59" s="6"/>
      <c r="J59" s="6"/>
      <c r="K59" s="6"/>
      <c r="L59" s="6"/>
      <c r="M59" s="6"/>
      <c r="N59" s="6"/>
      <c r="O59" s="6"/>
      <c r="P59" s="6"/>
      <c r="Q59" s="6"/>
      <c r="R59" s="6"/>
      <c r="AC59" s="6"/>
      <c r="AE59" t="s">
        <v>4</v>
      </c>
      <c r="AG59" t="s">
        <v>1679</v>
      </c>
      <c r="AH59">
        <v>3</v>
      </c>
    </row>
    <row r="60" spans="1:34" ht="15" hidden="1" customHeight="1" x14ac:dyDescent="0.15">
      <c r="D60" s="6"/>
      <c r="E60" s="6" t="s">
        <v>1680</v>
      </c>
      <c r="F60" s="6"/>
      <c r="G60" s="6"/>
      <c r="H60" s="6" t="str">
        <f>IF(A59="","",INDEX(DIFFERENTIATION_UNMERGE_AREA,MATCH(A59,DIFFERENTIATION_ID_DIFF,0)))</f>
        <v>без дифференциации</v>
      </c>
      <c r="I60" s="6"/>
      <c r="J60" s="6"/>
      <c r="K60" s="6"/>
      <c r="L60" s="6"/>
      <c r="M60" s="6"/>
      <c r="N60" s="6"/>
      <c r="O60" s="6"/>
      <c r="P60" s="6"/>
      <c r="Q60" s="6"/>
      <c r="R60" s="6"/>
      <c r="AC60" s="6"/>
    </row>
    <row r="61" spans="1:34" ht="15" hidden="1" customHeight="1" x14ac:dyDescent="0.15">
      <c r="D61" s="6"/>
      <c r="E61" s="6" t="s">
        <v>1681</v>
      </c>
      <c r="F61" s="6"/>
      <c r="G61" s="6"/>
      <c r="H61" s="6" t="str">
        <f>IF(A59="","",INDEX(DIFFERENTIATION_UNMERGE_SYSTEM,MATCH(A59,DIFFERENTIATION_ID_DIFF,0)))</f>
        <v xml:space="preserve">ГВС-открытая система на территории Кавалеровский муниципальный район, Кавалеровский муниципальный район (05610000); </v>
      </c>
      <c r="I61" s="6"/>
      <c r="J61" s="6"/>
      <c r="K61" s="6"/>
      <c r="L61" s="6"/>
      <c r="M61" s="6"/>
      <c r="N61" s="6"/>
      <c r="O61" s="6"/>
      <c r="P61" s="6"/>
      <c r="Q61" s="6"/>
      <c r="R61" s="6"/>
      <c r="AC61" s="6"/>
    </row>
    <row r="62" spans="1:34" ht="24.75" hidden="1" customHeight="1" x14ac:dyDescent="0.15">
      <c r="D62" s="6"/>
      <c r="E62" s="6" t="s">
        <v>1682</v>
      </c>
      <c r="F62" s="6"/>
      <c r="G62" s="6"/>
      <c r="H62" s="6"/>
      <c r="I62" s="6"/>
      <c r="J62" s="6"/>
      <c r="K62" s="6"/>
      <c r="L62" s="6"/>
      <c r="M62" s="6"/>
      <c r="N62" s="6"/>
      <c r="O62" s="6"/>
      <c r="P62" s="6"/>
      <c r="Q62">
        <f>SUMIF(T63:T64,"i",Q63:Q64)</f>
        <v>0</v>
      </c>
      <c r="S62" t="s">
        <v>1683</v>
      </c>
      <c r="T62" t="s">
        <v>1684</v>
      </c>
      <c r="U62" s="6">
        <v>1</v>
      </c>
      <c r="V62" s="6" t="s">
        <v>1685</v>
      </c>
      <c r="AC62" s="6"/>
    </row>
    <row r="63" spans="1:34" ht="11.25" hidden="1" customHeight="1" x14ac:dyDescent="0.15">
      <c r="D63" s="6"/>
      <c r="F63">
        <v>0</v>
      </c>
      <c r="U63" s="6"/>
      <c r="V63" s="6"/>
      <c r="AC63" s="6"/>
    </row>
    <row r="64" spans="1:34" ht="11.25" hidden="1" customHeight="1" x14ac:dyDescent="0.15">
      <c r="D64" s="6"/>
      <c r="E64" t="s">
        <v>4</v>
      </c>
      <c r="F64" t="s">
        <v>4</v>
      </c>
      <c r="G64" t="s">
        <v>1686</v>
      </c>
      <c r="H64" t="s">
        <v>4</v>
      </c>
      <c r="U64" s="6"/>
      <c r="V64" s="6"/>
      <c r="AC64" s="6"/>
    </row>
    <row r="65" spans="1:34" ht="5.25" hidden="1" customHeight="1" x14ac:dyDescent="0.15">
      <c r="D65" s="6"/>
      <c r="T65" t="s">
        <v>1684</v>
      </c>
      <c r="U65" s="6">
        <v>1</v>
      </c>
      <c r="V65" s="6" t="s">
        <v>1685</v>
      </c>
    </row>
    <row r="66" spans="1:34" ht="5.25" hidden="1" customHeight="1" x14ac:dyDescent="0.15">
      <c r="D66" s="6"/>
      <c r="U66" s="6"/>
      <c r="V66" s="6"/>
    </row>
    <row r="67" spans="1:34" ht="5.25" hidden="1" customHeight="1" x14ac:dyDescent="0.15">
      <c r="D67" s="6"/>
      <c r="U67" s="6"/>
      <c r="V67" s="6"/>
    </row>
    <row r="68" spans="1:34" ht="15" hidden="1" customHeight="1" x14ac:dyDescent="0.15">
      <c r="A68" t="s">
        <v>378</v>
      </c>
      <c r="C68" t="s">
        <v>4</v>
      </c>
      <c r="D68" s="6" t="s">
        <v>3202</v>
      </c>
      <c r="E68" s="6" t="s">
        <v>355</v>
      </c>
      <c r="F68" s="6"/>
      <c r="G68" s="6"/>
      <c r="H68" s="6" t="str">
        <f>IF(A68="","",INDEX(DIFFERENTIATION_UNMERGE_VD,MATCH(A68,DIFFERENTIATION_ID_DIFF,0)))</f>
        <v>Производство тепловой энергии. Некомбинированная выработка</v>
      </c>
      <c r="I68" s="6"/>
      <c r="J68" s="6"/>
      <c r="K68" s="6"/>
      <c r="L68" s="6"/>
      <c r="M68" s="6"/>
      <c r="N68" s="6"/>
      <c r="O68" s="6"/>
      <c r="P68" s="6"/>
      <c r="Q68" s="6"/>
      <c r="R68" s="6"/>
      <c r="AC68" s="6"/>
      <c r="AE68" t="s">
        <v>4</v>
      </c>
      <c r="AG68" t="s">
        <v>1679</v>
      </c>
      <c r="AH68">
        <v>3</v>
      </c>
    </row>
    <row r="69" spans="1:34" ht="15" hidden="1" customHeight="1" x14ac:dyDescent="0.15">
      <c r="D69" s="6"/>
      <c r="E69" s="6" t="s">
        <v>1680</v>
      </c>
      <c r="F69" s="6"/>
      <c r="G69" s="6"/>
      <c r="H69" s="6" t="str">
        <f>IF(A68="","",INDEX(DIFFERENTIATION_UNMERGE_AREA,MATCH(A68,DIFFERENTIATION_ID_DIFF,0)))</f>
        <v>без дифференциации</v>
      </c>
      <c r="I69" s="6"/>
      <c r="J69" s="6"/>
      <c r="K69" s="6"/>
      <c r="L69" s="6"/>
      <c r="M69" s="6"/>
      <c r="N69" s="6"/>
      <c r="O69" s="6"/>
      <c r="P69" s="6"/>
      <c r="Q69" s="6"/>
      <c r="R69" s="6"/>
      <c r="AC69" s="6"/>
    </row>
    <row r="70" spans="1:34" ht="15" hidden="1" customHeight="1" x14ac:dyDescent="0.15">
      <c r="D70" s="6"/>
      <c r="E70" s="6" t="s">
        <v>1681</v>
      </c>
      <c r="F70" s="6"/>
      <c r="G70" s="6"/>
      <c r="H70" s="6" t="str">
        <f>IF(A68="","",INDEX(DIFFERENTIATION_UNMERGE_SYSTEM,MATCH(A68,DIFFERENTIATION_ID_DIFF,0)))</f>
        <v xml:space="preserve">ГВС-открытая система на территории Кировский муниципальный район, Горноключевское гороское поселение (05612154); </v>
      </c>
      <c r="I70" s="6"/>
      <c r="J70" s="6"/>
      <c r="K70" s="6"/>
      <c r="L70" s="6"/>
      <c r="M70" s="6"/>
      <c r="N70" s="6"/>
      <c r="O70" s="6"/>
      <c r="P70" s="6"/>
      <c r="Q70" s="6"/>
      <c r="R70" s="6"/>
      <c r="AC70" s="6"/>
    </row>
    <row r="71" spans="1:34" ht="24.75" hidden="1" customHeight="1" x14ac:dyDescent="0.15">
      <c r="D71" s="6"/>
      <c r="E71" s="6" t="s">
        <v>1682</v>
      </c>
      <c r="F71" s="6"/>
      <c r="G71" s="6"/>
      <c r="H71" s="6"/>
      <c r="I71" s="6"/>
      <c r="J71" s="6"/>
      <c r="K71" s="6"/>
      <c r="L71" s="6"/>
      <c r="M71" s="6"/>
      <c r="N71" s="6"/>
      <c r="O71" s="6"/>
      <c r="P71" s="6"/>
      <c r="Q71">
        <f>SUMIF(T72:T73,"i",Q72:Q73)</f>
        <v>0</v>
      </c>
      <c r="S71" t="s">
        <v>1683</v>
      </c>
      <c r="T71" t="s">
        <v>1684</v>
      </c>
      <c r="U71" s="6">
        <v>1</v>
      </c>
      <c r="V71" s="6" t="s">
        <v>1685</v>
      </c>
      <c r="AC71" s="6"/>
    </row>
    <row r="72" spans="1:34" ht="11.25" hidden="1" customHeight="1" x14ac:dyDescent="0.15">
      <c r="D72" s="6"/>
      <c r="F72">
        <v>0</v>
      </c>
      <c r="U72" s="6"/>
      <c r="V72" s="6"/>
      <c r="AC72" s="6"/>
    </row>
    <row r="73" spans="1:34" ht="11.25" hidden="1" customHeight="1" x14ac:dyDescent="0.15">
      <c r="D73" s="6"/>
      <c r="E73" t="s">
        <v>4</v>
      </c>
      <c r="F73" t="s">
        <v>4</v>
      </c>
      <c r="G73" t="s">
        <v>1686</v>
      </c>
      <c r="H73" t="s">
        <v>4</v>
      </c>
      <c r="U73" s="6"/>
      <c r="V73" s="6"/>
      <c r="AC73" s="6"/>
    </row>
    <row r="74" spans="1:34" ht="5.25" hidden="1" customHeight="1" x14ac:dyDescent="0.15">
      <c r="D74" s="6"/>
      <c r="T74" t="s">
        <v>1684</v>
      </c>
      <c r="U74" s="6">
        <v>1</v>
      </c>
      <c r="V74" s="6" t="s">
        <v>1685</v>
      </c>
    </row>
    <row r="75" spans="1:34" ht="5.25" hidden="1" customHeight="1" x14ac:dyDescent="0.15">
      <c r="D75" s="6"/>
      <c r="U75" s="6"/>
      <c r="V75" s="6"/>
    </row>
    <row r="76" spans="1:34" ht="5.25" hidden="1" customHeight="1" x14ac:dyDescent="0.15">
      <c r="D76" s="6"/>
      <c r="U76" s="6"/>
      <c r="V76" s="6"/>
    </row>
    <row r="77" spans="1:34" ht="15" hidden="1" customHeight="1" x14ac:dyDescent="0.15">
      <c r="A77" t="s">
        <v>380</v>
      </c>
      <c r="C77" t="s">
        <v>4</v>
      </c>
      <c r="D77" s="6" t="s">
        <v>3203</v>
      </c>
      <c r="E77" s="6" t="s">
        <v>355</v>
      </c>
      <c r="F77" s="6"/>
      <c r="G77" s="6"/>
      <c r="H77" s="6" t="str">
        <f>IF(A77="","",INDEX(DIFFERENTIATION_UNMERGE_VD,MATCH(A77,DIFFERENTIATION_ID_DIFF,0)))</f>
        <v>Производство тепловой энергии. Некомбинированная выработка</v>
      </c>
      <c r="I77" s="6"/>
      <c r="J77" s="6"/>
      <c r="K77" s="6"/>
      <c r="L77" s="6"/>
      <c r="M77" s="6"/>
      <c r="N77" s="6"/>
      <c r="O77" s="6"/>
      <c r="P77" s="6"/>
      <c r="Q77" s="6"/>
      <c r="R77" s="6"/>
      <c r="AC77" s="6"/>
      <c r="AE77" t="s">
        <v>4</v>
      </c>
      <c r="AG77" t="s">
        <v>1679</v>
      </c>
      <c r="AH77">
        <v>3</v>
      </c>
    </row>
    <row r="78" spans="1:34" ht="15" hidden="1" customHeight="1" x14ac:dyDescent="0.15">
      <c r="D78" s="6"/>
      <c r="E78" s="6" t="s">
        <v>1680</v>
      </c>
      <c r="F78" s="6"/>
      <c r="G78" s="6"/>
      <c r="H78" s="6" t="str">
        <f>IF(A77="","",INDEX(DIFFERENTIATION_UNMERGE_AREA,MATCH(A77,DIFFERENTIATION_ID_DIFF,0)))</f>
        <v>без дифференциации</v>
      </c>
      <c r="I78" s="6"/>
      <c r="J78" s="6"/>
      <c r="K78" s="6"/>
      <c r="L78" s="6"/>
      <c r="M78" s="6"/>
      <c r="N78" s="6"/>
      <c r="O78" s="6"/>
      <c r="P78" s="6"/>
      <c r="Q78" s="6"/>
      <c r="R78" s="6"/>
      <c r="AC78" s="6"/>
    </row>
    <row r="79" spans="1:34" ht="15" hidden="1" customHeight="1" x14ac:dyDescent="0.15">
      <c r="D79" s="6"/>
      <c r="E79" s="6" t="s">
        <v>1681</v>
      </c>
      <c r="F79" s="6"/>
      <c r="G79" s="6"/>
      <c r="H79" s="6" t="str">
        <f>IF(A77="","",INDEX(DIFFERENTIATION_UNMERGE_SYSTEM,MATCH(A77,DIFFERENTIATION_ID_DIFF,0)))</f>
        <v xml:space="preserve">ГВС-открытая система на территории Михайловский муниципальный район, Новошахтинское городское поселение (05620154); </v>
      </c>
      <c r="I79" s="6"/>
      <c r="J79" s="6"/>
      <c r="K79" s="6"/>
      <c r="L79" s="6"/>
      <c r="M79" s="6"/>
      <c r="N79" s="6"/>
      <c r="O79" s="6"/>
      <c r="P79" s="6"/>
      <c r="Q79" s="6"/>
      <c r="R79" s="6"/>
      <c r="AC79" s="6"/>
    </row>
    <row r="80" spans="1:34" ht="24.75" hidden="1" customHeight="1" x14ac:dyDescent="0.15">
      <c r="D80" s="6"/>
      <c r="E80" s="6" t="s">
        <v>1682</v>
      </c>
      <c r="F80" s="6"/>
      <c r="G80" s="6"/>
      <c r="H80" s="6"/>
      <c r="I80" s="6"/>
      <c r="J80" s="6"/>
      <c r="K80" s="6"/>
      <c r="L80" s="6"/>
      <c r="M80" s="6"/>
      <c r="N80" s="6"/>
      <c r="O80" s="6"/>
      <c r="P80" s="6"/>
      <c r="Q80">
        <f>SUMIF(T81:T82,"i",Q81:Q82)</f>
        <v>0</v>
      </c>
      <c r="S80" t="s">
        <v>1683</v>
      </c>
      <c r="T80" t="s">
        <v>1684</v>
      </c>
      <c r="U80" s="6">
        <v>1</v>
      </c>
      <c r="V80" s="6" t="s">
        <v>1685</v>
      </c>
      <c r="AC80" s="6"/>
    </row>
    <row r="81" spans="1:34" ht="11.25" hidden="1" customHeight="1" x14ac:dyDescent="0.15">
      <c r="D81" s="6"/>
      <c r="F81">
        <v>0</v>
      </c>
      <c r="U81" s="6"/>
      <c r="V81" s="6"/>
      <c r="AC81" s="6"/>
    </row>
    <row r="82" spans="1:34" ht="11.25" hidden="1" customHeight="1" x14ac:dyDescent="0.15">
      <c r="D82" s="6"/>
      <c r="E82" t="s">
        <v>4</v>
      </c>
      <c r="F82" t="s">
        <v>4</v>
      </c>
      <c r="G82" t="s">
        <v>1686</v>
      </c>
      <c r="H82" t="s">
        <v>4</v>
      </c>
      <c r="U82" s="6"/>
      <c r="V82" s="6"/>
      <c r="AC82" s="6"/>
    </row>
    <row r="83" spans="1:34" ht="5.25" hidden="1" customHeight="1" x14ac:dyDescent="0.15">
      <c r="D83" s="6"/>
      <c r="T83" t="s">
        <v>1684</v>
      </c>
      <c r="U83" s="6">
        <v>1</v>
      </c>
      <c r="V83" s="6" t="s">
        <v>1685</v>
      </c>
    </row>
    <row r="84" spans="1:34" ht="5.25" hidden="1" customHeight="1" x14ac:dyDescent="0.15">
      <c r="D84" s="6"/>
      <c r="U84" s="6"/>
      <c r="V84" s="6"/>
    </row>
    <row r="85" spans="1:34" ht="5.25" hidden="1" customHeight="1" x14ac:dyDescent="0.15">
      <c r="D85" s="6"/>
      <c r="U85" s="6"/>
      <c r="V85" s="6"/>
    </row>
    <row r="86" spans="1:34" ht="15" hidden="1" customHeight="1" x14ac:dyDescent="0.15">
      <c r="A86" t="s">
        <v>382</v>
      </c>
      <c r="C86" t="s">
        <v>4</v>
      </c>
      <c r="D86" s="6" t="s">
        <v>3204</v>
      </c>
      <c r="E86" s="6" t="s">
        <v>355</v>
      </c>
      <c r="F86" s="6"/>
      <c r="G86" s="6"/>
      <c r="H86" s="6" t="str">
        <f>IF(A86="","",INDEX(DIFFERENTIATION_UNMERGE_VD,MATCH(A86,DIFFERENTIATION_ID_DIFF,0)))</f>
        <v>Производство тепловой энергии. Некомбинированная выработка</v>
      </c>
      <c r="I86" s="6"/>
      <c r="J86" s="6"/>
      <c r="K86" s="6"/>
      <c r="L86" s="6"/>
      <c r="M86" s="6"/>
      <c r="N86" s="6"/>
      <c r="O86" s="6"/>
      <c r="P86" s="6"/>
      <c r="Q86" s="6"/>
      <c r="R86" s="6"/>
      <c r="AC86" s="6"/>
      <c r="AE86" t="s">
        <v>4</v>
      </c>
      <c r="AG86" t="s">
        <v>1679</v>
      </c>
      <c r="AH86">
        <v>3</v>
      </c>
    </row>
    <row r="87" spans="1:34" ht="15" hidden="1" customHeight="1" x14ac:dyDescent="0.15">
      <c r="D87" s="6"/>
      <c r="E87" s="6" t="s">
        <v>1680</v>
      </c>
      <c r="F87" s="6"/>
      <c r="G87" s="6"/>
      <c r="H87" s="6" t="str">
        <f>IF(A86="","",INDEX(DIFFERENTIATION_UNMERGE_AREA,MATCH(A86,DIFFERENTIATION_ID_DIFF,0)))</f>
        <v>без дифференциации</v>
      </c>
      <c r="I87" s="6"/>
      <c r="J87" s="6"/>
      <c r="K87" s="6"/>
      <c r="L87" s="6"/>
      <c r="M87" s="6"/>
      <c r="N87" s="6"/>
      <c r="O87" s="6"/>
      <c r="P87" s="6"/>
      <c r="Q87" s="6"/>
      <c r="R87" s="6"/>
      <c r="AC87" s="6"/>
    </row>
    <row r="88" spans="1:34" ht="15" hidden="1" customHeight="1" x14ac:dyDescent="0.15">
      <c r="D88" s="6"/>
      <c r="E88" s="6" t="s">
        <v>1681</v>
      </c>
      <c r="F88" s="6"/>
      <c r="G88" s="6"/>
      <c r="H88" s="6" t="str">
        <f>IF(A86="","",INDEX(DIFFERENTIATION_UNMERGE_SYSTEM,MATCH(A86,DIFFERENTIATION_ID_DIFF,0)))</f>
        <v xml:space="preserve">ГВС-открытая система на территории Пожарский муниципальный район, Губеровское сельское поселение (05634407); </v>
      </c>
      <c r="I88" s="6"/>
      <c r="J88" s="6"/>
      <c r="K88" s="6"/>
      <c r="L88" s="6"/>
      <c r="M88" s="6"/>
      <c r="N88" s="6"/>
      <c r="O88" s="6"/>
      <c r="P88" s="6"/>
      <c r="Q88" s="6"/>
      <c r="R88" s="6"/>
      <c r="AC88" s="6"/>
    </row>
    <row r="89" spans="1:34" ht="24.75" hidden="1" customHeight="1" x14ac:dyDescent="0.15">
      <c r="D89" s="6"/>
      <c r="E89" s="6" t="s">
        <v>1682</v>
      </c>
      <c r="F89" s="6"/>
      <c r="G89" s="6"/>
      <c r="H89" s="6"/>
      <c r="I89" s="6"/>
      <c r="J89" s="6"/>
      <c r="K89" s="6"/>
      <c r="L89" s="6"/>
      <c r="M89" s="6"/>
      <c r="N89" s="6"/>
      <c r="O89" s="6"/>
      <c r="P89" s="6"/>
      <c r="Q89">
        <f>SUMIF(T90:T91,"i",Q90:Q91)</f>
        <v>0</v>
      </c>
      <c r="S89" t="s">
        <v>1683</v>
      </c>
      <c r="T89" t="s">
        <v>1684</v>
      </c>
      <c r="U89" s="6">
        <v>1</v>
      </c>
      <c r="V89" s="6" t="s">
        <v>1685</v>
      </c>
      <c r="AC89" s="6"/>
    </row>
    <row r="90" spans="1:34" ht="11.25" hidden="1" customHeight="1" x14ac:dyDescent="0.15">
      <c r="D90" s="6"/>
      <c r="F90">
        <v>0</v>
      </c>
      <c r="U90" s="6"/>
      <c r="V90" s="6"/>
      <c r="AC90" s="6"/>
    </row>
    <row r="91" spans="1:34" ht="11.25" hidden="1" customHeight="1" x14ac:dyDescent="0.15">
      <c r="D91" s="6"/>
      <c r="E91" t="s">
        <v>4</v>
      </c>
      <c r="F91" t="s">
        <v>4</v>
      </c>
      <c r="G91" t="s">
        <v>1686</v>
      </c>
      <c r="H91" t="s">
        <v>4</v>
      </c>
      <c r="U91" s="6"/>
      <c r="V91" s="6"/>
      <c r="AC91" s="6"/>
    </row>
    <row r="92" spans="1:34" ht="5.25" hidden="1" customHeight="1" x14ac:dyDescent="0.15">
      <c r="D92" s="6"/>
      <c r="T92" t="s">
        <v>1684</v>
      </c>
      <c r="U92" s="6">
        <v>1</v>
      </c>
      <c r="V92" s="6" t="s">
        <v>1685</v>
      </c>
    </row>
    <row r="93" spans="1:34" ht="5.25" hidden="1" customHeight="1" x14ac:dyDescent="0.15">
      <c r="D93" s="6"/>
      <c r="U93" s="6"/>
      <c r="V93" s="6"/>
    </row>
    <row r="94" spans="1:34" ht="5.25" hidden="1" customHeight="1" x14ac:dyDescent="0.15">
      <c r="D94" s="6"/>
      <c r="U94" s="6"/>
      <c r="V94" s="6"/>
    </row>
    <row r="95" spans="1:34" ht="15" hidden="1" customHeight="1" x14ac:dyDescent="0.15">
      <c r="A95" t="s">
        <v>384</v>
      </c>
      <c r="C95" t="s">
        <v>4</v>
      </c>
      <c r="D95" s="6" t="s">
        <v>3205</v>
      </c>
      <c r="E95" s="6" t="s">
        <v>355</v>
      </c>
      <c r="F95" s="6"/>
      <c r="G95" s="6"/>
      <c r="H95" s="6" t="str">
        <f>IF(A95="","",INDEX(DIFFERENTIATION_UNMERGE_VD,MATCH(A95,DIFFERENTIATION_ID_DIFF,0)))</f>
        <v>Производство тепловой энергии. Некомбинированная выработка</v>
      </c>
      <c r="I95" s="6"/>
      <c r="J95" s="6"/>
      <c r="K95" s="6"/>
      <c r="L95" s="6"/>
      <c r="M95" s="6"/>
      <c r="N95" s="6"/>
      <c r="O95" s="6"/>
      <c r="P95" s="6"/>
      <c r="Q95" s="6"/>
      <c r="R95" s="6"/>
      <c r="AC95" s="6"/>
      <c r="AE95" t="s">
        <v>4</v>
      </c>
      <c r="AG95" t="s">
        <v>1679</v>
      </c>
      <c r="AH95">
        <v>3</v>
      </c>
    </row>
    <row r="96" spans="1:34" ht="15" hidden="1" customHeight="1" x14ac:dyDescent="0.15">
      <c r="D96" s="6"/>
      <c r="E96" s="6" t="s">
        <v>1680</v>
      </c>
      <c r="F96" s="6"/>
      <c r="G96" s="6"/>
      <c r="H96" s="6" t="str">
        <f>IF(A95="","",INDEX(DIFFERENTIATION_UNMERGE_AREA,MATCH(A95,DIFFERENTIATION_ID_DIFF,0)))</f>
        <v>без дифференциации</v>
      </c>
      <c r="I96" s="6"/>
      <c r="J96" s="6"/>
      <c r="K96" s="6"/>
      <c r="L96" s="6"/>
      <c r="M96" s="6"/>
      <c r="N96" s="6"/>
      <c r="O96" s="6"/>
      <c r="P96" s="6"/>
      <c r="Q96" s="6"/>
      <c r="R96" s="6"/>
      <c r="AC96" s="6"/>
    </row>
    <row r="97" spans="1:34" ht="15" hidden="1" customHeight="1" x14ac:dyDescent="0.15">
      <c r="D97" s="6"/>
      <c r="E97" s="6" t="s">
        <v>1681</v>
      </c>
      <c r="F97" s="6"/>
      <c r="G97" s="6"/>
      <c r="H97" s="6" t="str">
        <f>IF(A95="","",INDEX(DIFFERENTIATION_UNMERGE_SYSTEM,MATCH(A95,DIFFERENTIATION_ID_DIFF,0)))</f>
        <v xml:space="preserve">ГВС-открытая система на территории Пожарский муниципальный район, Нагорненское сельское поселение (05634418); </v>
      </c>
      <c r="I97" s="6"/>
      <c r="J97" s="6"/>
      <c r="K97" s="6"/>
      <c r="L97" s="6"/>
      <c r="M97" s="6"/>
      <c r="N97" s="6"/>
      <c r="O97" s="6"/>
      <c r="P97" s="6"/>
      <c r="Q97" s="6"/>
      <c r="R97" s="6"/>
      <c r="AC97" s="6"/>
    </row>
    <row r="98" spans="1:34" ht="24.75" hidden="1" customHeight="1" x14ac:dyDescent="0.15">
      <c r="D98" s="6"/>
      <c r="E98" s="6" t="s">
        <v>1682</v>
      </c>
      <c r="F98" s="6"/>
      <c r="G98" s="6"/>
      <c r="H98" s="6"/>
      <c r="I98" s="6"/>
      <c r="J98" s="6"/>
      <c r="K98" s="6"/>
      <c r="L98" s="6"/>
      <c r="M98" s="6"/>
      <c r="N98" s="6"/>
      <c r="O98" s="6"/>
      <c r="P98" s="6"/>
      <c r="Q98">
        <f>SUMIF(T99:T100,"i",Q99:Q100)</f>
        <v>0</v>
      </c>
      <c r="S98" t="s">
        <v>1683</v>
      </c>
      <c r="T98" t="s">
        <v>1684</v>
      </c>
      <c r="U98" s="6">
        <v>1</v>
      </c>
      <c r="V98" s="6" t="s">
        <v>1685</v>
      </c>
      <c r="AC98" s="6"/>
    </row>
    <row r="99" spans="1:34" ht="11.25" hidden="1" customHeight="1" x14ac:dyDescent="0.15">
      <c r="D99" s="6"/>
      <c r="F99">
        <v>0</v>
      </c>
      <c r="U99" s="6"/>
      <c r="V99" s="6"/>
      <c r="AC99" s="6"/>
    </row>
    <row r="100" spans="1:34" ht="11.25" hidden="1" customHeight="1" x14ac:dyDescent="0.15">
      <c r="D100" s="6"/>
      <c r="E100" t="s">
        <v>4</v>
      </c>
      <c r="F100" t="s">
        <v>4</v>
      </c>
      <c r="G100" t="s">
        <v>1686</v>
      </c>
      <c r="H100" t="s">
        <v>4</v>
      </c>
      <c r="U100" s="6"/>
      <c r="V100" s="6"/>
      <c r="AC100" s="6"/>
    </row>
    <row r="101" spans="1:34" ht="5.25" hidden="1" customHeight="1" x14ac:dyDescent="0.15">
      <c r="D101" s="6"/>
      <c r="T101" t="s">
        <v>1684</v>
      </c>
      <c r="U101" s="6">
        <v>1</v>
      </c>
      <c r="V101" s="6" t="s">
        <v>1685</v>
      </c>
    </row>
    <row r="102" spans="1:34" ht="5.25" hidden="1" customHeight="1" x14ac:dyDescent="0.15">
      <c r="D102" s="6"/>
      <c r="U102" s="6"/>
      <c r="V102" s="6"/>
    </row>
    <row r="103" spans="1:34" ht="5.25" hidden="1" customHeight="1" x14ac:dyDescent="0.15">
      <c r="D103" s="6"/>
      <c r="U103" s="6"/>
      <c r="V103" s="6"/>
    </row>
    <row r="104" spans="1:34" ht="15" hidden="1" customHeight="1" x14ac:dyDescent="0.15">
      <c r="A104" t="s">
        <v>386</v>
      </c>
      <c r="C104" t="s">
        <v>4</v>
      </c>
      <c r="D104" s="6" t="s">
        <v>3206</v>
      </c>
      <c r="E104" s="6" t="s">
        <v>355</v>
      </c>
      <c r="F104" s="6"/>
      <c r="G104" s="6"/>
      <c r="H104" s="6" t="str">
        <f>IF(A104="","",INDEX(DIFFERENTIATION_UNMERGE_VD,MATCH(A104,DIFFERENTIATION_ID_DIFF,0)))</f>
        <v>Производство тепловой энергии. Некомбинированная выработка</v>
      </c>
      <c r="I104" s="6"/>
      <c r="J104" s="6"/>
      <c r="K104" s="6"/>
      <c r="L104" s="6"/>
      <c r="M104" s="6"/>
      <c r="N104" s="6"/>
      <c r="O104" s="6"/>
      <c r="P104" s="6"/>
      <c r="Q104" s="6"/>
      <c r="R104" s="6"/>
      <c r="AC104" s="6"/>
      <c r="AE104" t="s">
        <v>4</v>
      </c>
      <c r="AG104" t="s">
        <v>1679</v>
      </c>
      <c r="AH104">
        <v>3</v>
      </c>
    </row>
    <row r="105" spans="1:34" ht="15" hidden="1" customHeight="1" x14ac:dyDescent="0.15">
      <c r="D105" s="6"/>
      <c r="E105" s="6" t="s">
        <v>1680</v>
      </c>
      <c r="F105" s="6"/>
      <c r="G105" s="6"/>
      <c r="H105" s="6" t="str">
        <f>IF(A104="","",INDEX(DIFFERENTIATION_UNMERGE_AREA,MATCH(A104,DIFFERENTIATION_ID_DIFF,0)))</f>
        <v>без дифференциации</v>
      </c>
      <c r="I105" s="6"/>
      <c r="J105" s="6"/>
      <c r="K105" s="6"/>
      <c r="L105" s="6"/>
      <c r="M105" s="6"/>
      <c r="N105" s="6"/>
      <c r="O105" s="6"/>
      <c r="P105" s="6"/>
      <c r="Q105" s="6"/>
      <c r="R105" s="6"/>
      <c r="AC105" s="6"/>
    </row>
    <row r="106" spans="1:34" ht="15" hidden="1" customHeight="1" x14ac:dyDescent="0.15">
      <c r="D106" s="6"/>
      <c r="E106" s="6" t="s">
        <v>1681</v>
      </c>
      <c r="F106" s="6"/>
      <c r="G106" s="6"/>
      <c r="H106" s="6" t="str">
        <f>IF(A104="","",INDEX(DIFFERENTIATION_UNMERGE_SYSTEM,MATCH(A104,DIFFERENTIATION_ID_DIFF,0)))</f>
        <v xml:space="preserve">ГВС-открытая система на территории Хасанский муниципальный район, Зарубинское городское поселение (05648153); </v>
      </c>
      <c r="I106" s="6"/>
      <c r="J106" s="6"/>
      <c r="K106" s="6"/>
      <c r="L106" s="6"/>
      <c r="M106" s="6"/>
      <c r="N106" s="6"/>
      <c r="O106" s="6"/>
      <c r="P106" s="6"/>
      <c r="Q106" s="6"/>
      <c r="R106" s="6"/>
      <c r="AC106" s="6"/>
    </row>
    <row r="107" spans="1:34" ht="24.75" hidden="1" customHeight="1" x14ac:dyDescent="0.15">
      <c r="D107" s="6"/>
      <c r="E107" s="6" t="s">
        <v>1682</v>
      </c>
      <c r="F107" s="6"/>
      <c r="G107" s="6"/>
      <c r="H107" s="6"/>
      <c r="I107" s="6"/>
      <c r="J107" s="6"/>
      <c r="K107" s="6"/>
      <c r="L107" s="6"/>
      <c r="M107" s="6"/>
      <c r="N107" s="6"/>
      <c r="O107" s="6"/>
      <c r="P107" s="6"/>
      <c r="Q107">
        <f>SUMIF(T108:T109,"i",Q108:Q109)</f>
        <v>0</v>
      </c>
      <c r="S107" t="s">
        <v>1683</v>
      </c>
      <c r="T107" t="s">
        <v>1684</v>
      </c>
      <c r="U107" s="6">
        <v>1</v>
      </c>
      <c r="V107" s="6" t="s">
        <v>1685</v>
      </c>
      <c r="AC107" s="6"/>
    </row>
    <row r="108" spans="1:34" ht="11.25" hidden="1" customHeight="1" x14ac:dyDescent="0.15">
      <c r="D108" s="6"/>
      <c r="F108">
        <v>0</v>
      </c>
      <c r="U108" s="6"/>
      <c r="V108" s="6"/>
      <c r="AC108" s="6"/>
    </row>
    <row r="109" spans="1:34" ht="11.25" hidden="1" customHeight="1" x14ac:dyDescent="0.15">
      <c r="D109" s="6"/>
      <c r="E109" t="s">
        <v>4</v>
      </c>
      <c r="F109" t="s">
        <v>4</v>
      </c>
      <c r="G109" t="s">
        <v>1686</v>
      </c>
      <c r="H109" t="s">
        <v>4</v>
      </c>
      <c r="U109" s="6"/>
      <c r="V109" s="6"/>
      <c r="AC109" s="6"/>
    </row>
    <row r="110" spans="1:34" ht="5.25" hidden="1" customHeight="1" x14ac:dyDescent="0.15">
      <c r="D110" s="6"/>
      <c r="T110" t="s">
        <v>1684</v>
      </c>
      <c r="U110" s="6">
        <v>1</v>
      </c>
      <c r="V110" s="6" t="s">
        <v>1685</v>
      </c>
    </row>
    <row r="111" spans="1:34" ht="5.25" hidden="1" customHeight="1" x14ac:dyDescent="0.15">
      <c r="D111" s="6"/>
      <c r="U111" s="6"/>
      <c r="V111" s="6"/>
    </row>
    <row r="112" spans="1:34" ht="5.25" hidden="1" customHeight="1" x14ac:dyDescent="0.15">
      <c r="D112" s="6"/>
      <c r="U112" s="6"/>
      <c r="V112" s="6"/>
    </row>
    <row r="113" spans="1:34" ht="15" hidden="1" customHeight="1" x14ac:dyDescent="0.15">
      <c r="A113" t="s">
        <v>388</v>
      </c>
      <c r="C113" t="s">
        <v>4</v>
      </c>
      <c r="D113" s="6" t="s">
        <v>3207</v>
      </c>
      <c r="E113" s="6" t="s">
        <v>355</v>
      </c>
      <c r="F113" s="6"/>
      <c r="G113" s="6"/>
      <c r="H113" s="6" t="str">
        <f>IF(A113="","",INDEX(DIFFERENTIATION_UNMERGE_VD,MATCH(A113,DIFFERENTIATION_ID_DIFF,0)))</f>
        <v>Производство тепловой энергии. Некомбинированная выработка</v>
      </c>
      <c r="I113" s="6"/>
      <c r="J113" s="6"/>
      <c r="K113" s="6"/>
      <c r="L113" s="6"/>
      <c r="M113" s="6"/>
      <c r="N113" s="6"/>
      <c r="O113" s="6"/>
      <c r="P113" s="6"/>
      <c r="Q113" s="6"/>
      <c r="R113" s="6"/>
      <c r="AC113" s="6"/>
      <c r="AE113" t="s">
        <v>4</v>
      </c>
      <c r="AG113" t="s">
        <v>1679</v>
      </c>
      <c r="AH113">
        <v>3</v>
      </c>
    </row>
    <row r="114" spans="1:34" ht="15" hidden="1" customHeight="1" x14ac:dyDescent="0.15">
      <c r="D114" s="6"/>
      <c r="E114" s="6" t="s">
        <v>1680</v>
      </c>
      <c r="F114" s="6"/>
      <c r="G114" s="6"/>
      <c r="H114" s="6" t="str">
        <f>IF(A113="","",INDEX(DIFFERENTIATION_UNMERGE_AREA,MATCH(A113,DIFFERENTIATION_ID_DIFF,0)))</f>
        <v>без дифференциации</v>
      </c>
      <c r="I114" s="6"/>
      <c r="J114" s="6"/>
      <c r="K114" s="6"/>
      <c r="L114" s="6"/>
      <c r="M114" s="6"/>
      <c r="N114" s="6"/>
      <c r="O114" s="6"/>
      <c r="P114" s="6"/>
      <c r="Q114" s="6"/>
      <c r="R114" s="6"/>
      <c r="AC114" s="6"/>
    </row>
    <row r="115" spans="1:34" ht="15" hidden="1" customHeight="1" x14ac:dyDescent="0.15">
      <c r="D115" s="6"/>
      <c r="E115" s="6" t="s">
        <v>1681</v>
      </c>
      <c r="F115" s="6"/>
      <c r="G115" s="6"/>
      <c r="H115" s="6" t="str">
        <f>IF(A113="","",INDEX(DIFFERENTIATION_UNMERGE_SYSTEM,MATCH(A113,DIFFERENTIATION_ID_DIFF,0)))</f>
        <v xml:space="preserve">ГВС-открытая система на территории Хасанский муниципальный район, Славянское городское поселение (05648151); </v>
      </c>
      <c r="I115" s="6"/>
      <c r="J115" s="6"/>
      <c r="K115" s="6"/>
      <c r="L115" s="6"/>
      <c r="M115" s="6"/>
      <c r="N115" s="6"/>
      <c r="O115" s="6"/>
      <c r="P115" s="6"/>
      <c r="Q115" s="6"/>
      <c r="R115" s="6"/>
      <c r="AC115" s="6"/>
    </row>
    <row r="116" spans="1:34" ht="24.75" hidden="1" customHeight="1" x14ac:dyDescent="0.15">
      <c r="D116" s="6"/>
      <c r="E116" s="6" t="s">
        <v>1682</v>
      </c>
      <c r="F116" s="6"/>
      <c r="G116" s="6"/>
      <c r="H116" s="6"/>
      <c r="I116" s="6"/>
      <c r="J116" s="6"/>
      <c r="K116" s="6"/>
      <c r="L116" s="6"/>
      <c r="M116" s="6"/>
      <c r="N116" s="6"/>
      <c r="O116" s="6"/>
      <c r="P116" s="6"/>
      <c r="Q116">
        <f>SUMIF(T117:T118,"i",Q117:Q118)</f>
        <v>0</v>
      </c>
      <c r="S116" t="s">
        <v>1683</v>
      </c>
      <c r="T116" t="s">
        <v>1684</v>
      </c>
      <c r="U116" s="6">
        <v>1</v>
      </c>
      <c r="V116" s="6" t="s">
        <v>1685</v>
      </c>
      <c r="AC116" s="6"/>
    </row>
    <row r="117" spans="1:34" ht="11.25" hidden="1" customHeight="1" x14ac:dyDescent="0.15">
      <c r="D117" s="6"/>
      <c r="F117">
        <v>0</v>
      </c>
      <c r="U117" s="6"/>
      <c r="V117" s="6"/>
      <c r="AC117" s="6"/>
    </row>
    <row r="118" spans="1:34" ht="11.25" hidden="1" customHeight="1" x14ac:dyDescent="0.15">
      <c r="D118" s="6"/>
      <c r="E118" t="s">
        <v>4</v>
      </c>
      <c r="F118" t="s">
        <v>4</v>
      </c>
      <c r="G118" t="s">
        <v>1686</v>
      </c>
      <c r="H118" t="s">
        <v>4</v>
      </c>
      <c r="U118" s="6"/>
      <c r="V118" s="6"/>
      <c r="AC118" s="6"/>
    </row>
    <row r="119" spans="1:34" ht="5.25" hidden="1" customHeight="1" x14ac:dyDescent="0.15">
      <c r="D119" s="6"/>
      <c r="T119" t="s">
        <v>1684</v>
      </c>
      <c r="U119" s="6">
        <v>1</v>
      </c>
      <c r="V119" s="6" t="s">
        <v>1685</v>
      </c>
    </row>
    <row r="120" spans="1:34" ht="5.25" hidden="1" customHeight="1" x14ac:dyDescent="0.15">
      <c r="D120" s="6"/>
      <c r="U120" s="6"/>
      <c r="V120" s="6"/>
    </row>
    <row r="121" spans="1:34" ht="5.25" hidden="1" customHeight="1" x14ac:dyDescent="0.15">
      <c r="D121" s="6"/>
      <c r="U121" s="6"/>
      <c r="V121" s="6"/>
    </row>
    <row r="122" spans="1:34" ht="15" hidden="1" customHeight="1" x14ac:dyDescent="0.15">
      <c r="A122" t="s">
        <v>390</v>
      </c>
      <c r="C122" t="s">
        <v>4</v>
      </c>
      <c r="D122" s="6" t="s">
        <v>3208</v>
      </c>
      <c r="E122" s="6" t="s">
        <v>355</v>
      </c>
      <c r="F122" s="6"/>
      <c r="G122" s="6"/>
      <c r="H122" s="6" t="str">
        <f>IF(A122="","",INDEX(DIFFERENTIATION_UNMERGE_VD,MATCH(A122,DIFFERENTIATION_ID_DIFF,0)))</f>
        <v>Производство тепловой энергии. Некомбинированная выработка</v>
      </c>
      <c r="I122" s="6"/>
      <c r="J122" s="6"/>
      <c r="K122" s="6"/>
      <c r="L122" s="6"/>
      <c r="M122" s="6"/>
      <c r="N122" s="6"/>
      <c r="O122" s="6"/>
      <c r="P122" s="6"/>
      <c r="Q122" s="6"/>
      <c r="R122" s="6"/>
      <c r="AC122" s="6"/>
      <c r="AE122" t="s">
        <v>4</v>
      </c>
      <c r="AG122" t="s">
        <v>1679</v>
      </c>
      <c r="AH122">
        <v>3</v>
      </c>
    </row>
    <row r="123" spans="1:34" ht="15" hidden="1" customHeight="1" x14ac:dyDescent="0.15">
      <c r="D123" s="6"/>
      <c r="E123" s="6" t="s">
        <v>1680</v>
      </c>
      <c r="F123" s="6"/>
      <c r="G123" s="6"/>
      <c r="H123" s="6" t="str">
        <f>IF(A122="","",INDEX(DIFFERENTIATION_UNMERGE_AREA,MATCH(A122,DIFFERENTIATION_ID_DIFF,0)))</f>
        <v>без дифференциации</v>
      </c>
      <c r="I123" s="6"/>
      <c r="J123" s="6"/>
      <c r="K123" s="6"/>
      <c r="L123" s="6"/>
      <c r="M123" s="6"/>
      <c r="N123" s="6"/>
      <c r="O123" s="6"/>
      <c r="P123" s="6"/>
      <c r="Q123" s="6"/>
      <c r="R123" s="6"/>
      <c r="AC123" s="6"/>
    </row>
    <row r="124" spans="1:34" ht="15" hidden="1" customHeight="1" x14ac:dyDescent="0.15">
      <c r="D124" s="6"/>
      <c r="E124" s="6" t="s">
        <v>1681</v>
      </c>
      <c r="F124" s="6"/>
      <c r="G124" s="6"/>
      <c r="H124" s="6" t="str">
        <f>IF(A122="","",INDEX(DIFFERENTIATION_UNMERGE_SYSTEM,MATCH(A122,DIFFERENTIATION_ID_DIFF,0)))</f>
        <v xml:space="preserve">ГВС-открытая система на территории Хорольский муниципальный район, Ярославское городское поселение (05650156); </v>
      </c>
      <c r="I124" s="6"/>
      <c r="J124" s="6"/>
      <c r="K124" s="6"/>
      <c r="L124" s="6"/>
      <c r="M124" s="6"/>
      <c r="N124" s="6"/>
      <c r="O124" s="6"/>
      <c r="P124" s="6"/>
      <c r="Q124" s="6"/>
      <c r="R124" s="6"/>
      <c r="AC124" s="6"/>
    </row>
    <row r="125" spans="1:34" ht="24.75" hidden="1" customHeight="1" x14ac:dyDescent="0.15">
      <c r="D125" s="6"/>
      <c r="E125" s="6" t="s">
        <v>1682</v>
      </c>
      <c r="F125" s="6"/>
      <c r="G125" s="6"/>
      <c r="H125" s="6"/>
      <c r="I125" s="6"/>
      <c r="J125" s="6"/>
      <c r="K125" s="6"/>
      <c r="L125" s="6"/>
      <c r="M125" s="6"/>
      <c r="N125" s="6"/>
      <c r="O125" s="6"/>
      <c r="P125" s="6"/>
      <c r="Q125">
        <f>SUMIF(T126:T127,"i",Q126:Q127)</f>
        <v>0</v>
      </c>
      <c r="S125" t="s">
        <v>1683</v>
      </c>
      <c r="T125" t="s">
        <v>1684</v>
      </c>
      <c r="U125" s="6">
        <v>1</v>
      </c>
      <c r="V125" s="6" t="s">
        <v>1685</v>
      </c>
      <c r="AC125" s="6"/>
    </row>
    <row r="126" spans="1:34" ht="11.25" hidden="1" customHeight="1" x14ac:dyDescent="0.15">
      <c r="D126" s="6"/>
      <c r="F126">
        <v>0</v>
      </c>
      <c r="U126" s="6"/>
      <c r="V126" s="6"/>
      <c r="AC126" s="6"/>
    </row>
    <row r="127" spans="1:34" ht="11.25" hidden="1" customHeight="1" x14ac:dyDescent="0.15">
      <c r="D127" s="6"/>
      <c r="E127" t="s">
        <v>4</v>
      </c>
      <c r="F127" t="s">
        <v>4</v>
      </c>
      <c r="G127" t="s">
        <v>1686</v>
      </c>
      <c r="H127" t="s">
        <v>4</v>
      </c>
      <c r="U127" s="6"/>
      <c r="V127" s="6"/>
      <c r="AC127" s="6"/>
    </row>
    <row r="128" spans="1:34" ht="5.25" hidden="1" customHeight="1" x14ac:dyDescent="0.15">
      <c r="D128" s="6"/>
      <c r="T128" t="s">
        <v>1684</v>
      </c>
      <c r="U128" s="6">
        <v>1</v>
      </c>
      <c r="V128" s="6" t="s">
        <v>1685</v>
      </c>
    </row>
    <row r="129" spans="1:34" ht="5.25" hidden="1" customHeight="1" x14ac:dyDescent="0.15">
      <c r="D129" s="6"/>
      <c r="U129" s="6"/>
      <c r="V129" s="6"/>
    </row>
    <row r="130" spans="1:34" ht="5.25" hidden="1" customHeight="1" x14ac:dyDescent="0.15">
      <c r="D130" s="6"/>
      <c r="U130" s="6"/>
      <c r="V130" s="6"/>
    </row>
    <row r="131" spans="1:34" ht="15" hidden="1" customHeight="1" x14ac:dyDescent="0.15">
      <c r="A131" t="s">
        <v>402</v>
      </c>
      <c r="C131" t="s">
        <v>4</v>
      </c>
      <c r="D131" s="6" t="s">
        <v>3209</v>
      </c>
      <c r="E131" s="6" t="s">
        <v>355</v>
      </c>
      <c r="F131" s="6"/>
      <c r="G131" s="6"/>
      <c r="H131" s="6" t="str">
        <f>IF(A131="","",INDEX(DIFFERENTIATION_UNMERGE_VD,MATCH(A131,DIFFERENTIATION_ID_DIFF,0)))</f>
        <v>Подключение (технологическое присоединение) к системе теплоснабжения</v>
      </c>
      <c r="I131" s="6"/>
      <c r="J131" s="6"/>
      <c r="K131" s="6"/>
      <c r="L131" s="6"/>
      <c r="M131" s="6"/>
      <c r="N131" s="6"/>
      <c r="O131" s="6"/>
      <c r="P131" s="6"/>
      <c r="Q131" s="6"/>
      <c r="R131" s="6"/>
      <c r="AC131" s="6"/>
      <c r="AE131" t="s">
        <v>4</v>
      </c>
      <c r="AG131" t="s">
        <v>1679</v>
      </c>
      <c r="AH131">
        <v>3</v>
      </c>
    </row>
    <row r="132" spans="1:34" ht="15" hidden="1" customHeight="1" x14ac:dyDescent="0.15">
      <c r="D132" s="6"/>
      <c r="E132" s="6" t="s">
        <v>1680</v>
      </c>
      <c r="F132" s="6"/>
      <c r="G132" s="6"/>
      <c r="H132" s="6" t="str">
        <f>IF(A131="","",INDEX(DIFFERENTIATION_UNMERGE_AREA,MATCH(A131,DIFFERENTIATION_ID_DIFF,0)))</f>
        <v>Территория 33</v>
      </c>
      <c r="I132" s="6"/>
      <c r="J132" s="6"/>
      <c r="K132" s="6"/>
      <c r="L132" s="6"/>
      <c r="M132" s="6"/>
      <c r="N132" s="6"/>
      <c r="O132" s="6"/>
      <c r="P132" s="6"/>
      <c r="Q132" s="6"/>
      <c r="R132" s="6"/>
      <c r="AC132" s="6"/>
    </row>
    <row r="133" spans="1:34" ht="15" hidden="1" customHeight="1" x14ac:dyDescent="0.15">
      <c r="D133" s="6"/>
      <c r="E133" s="6" t="s">
        <v>1681</v>
      </c>
      <c r="F133" s="6"/>
      <c r="G133" s="6"/>
      <c r="H133" s="6" t="str">
        <f>IF(A131="","",INDEX(DIFFERENTIATION_UNMERGE_SYSTEM,MATCH(A131,DIFFERENTIATION_ID_DIFF,0)))</f>
        <v>Городской округ Большой Камень</v>
      </c>
      <c r="I133" s="6"/>
      <c r="J133" s="6"/>
      <c r="K133" s="6"/>
      <c r="L133" s="6"/>
      <c r="M133" s="6"/>
      <c r="N133" s="6"/>
      <c r="O133" s="6"/>
      <c r="P133" s="6"/>
      <c r="Q133" s="6"/>
      <c r="R133" s="6"/>
      <c r="AC133" s="6"/>
    </row>
    <row r="134" spans="1:34" ht="24.75" hidden="1" customHeight="1" x14ac:dyDescent="0.15">
      <c r="D134" s="6"/>
      <c r="E134" s="6" t="s">
        <v>1682</v>
      </c>
      <c r="F134" s="6"/>
      <c r="G134" s="6"/>
      <c r="H134" s="6"/>
      <c r="I134" s="6"/>
      <c r="J134" s="6"/>
      <c r="K134" s="6"/>
      <c r="L134" s="6"/>
      <c r="M134" s="6"/>
      <c r="N134" s="6"/>
      <c r="O134" s="6"/>
      <c r="P134" s="6"/>
      <c r="Q134">
        <f>SUMIF(T135:T136,"i",Q135:Q136)</f>
        <v>0</v>
      </c>
      <c r="S134" t="s">
        <v>1683</v>
      </c>
      <c r="T134" t="s">
        <v>1684</v>
      </c>
      <c r="U134" s="6">
        <v>1</v>
      </c>
      <c r="V134" s="6" t="s">
        <v>1685</v>
      </c>
      <c r="AC134" s="6"/>
    </row>
    <row r="135" spans="1:34" ht="11.25" hidden="1" customHeight="1" x14ac:dyDescent="0.15">
      <c r="D135" s="6"/>
      <c r="F135">
        <v>0</v>
      </c>
      <c r="U135" s="6"/>
      <c r="V135" s="6"/>
      <c r="AC135" s="6"/>
    </row>
    <row r="136" spans="1:34" ht="11.25" hidden="1" customHeight="1" x14ac:dyDescent="0.15">
      <c r="D136" s="6"/>
      <c r="E136" t="s">
        <v>4</v>
      </c>
      <c r="F136" t="s">
        <v>4</v>
      </c>
      <c r="G136" t="s">
        <v>1686</v>
      </c>
      <c r="H136" t="s">
        <v>4</v>
      </c>
      <c r="U136" s="6"/>
      <c r="V136" s="6"/>
      <c r="AC136" s="6"/>
    </row>
    <row r="137" spans="1:34" ht="5.25" hidden="1" customHeight="1" x14ac:dyDescent="0.15">
      <c r="D137" s="6"/>
      <c r="T137" t="s">
        <v>1684</v>
      </c>
      <c r="U137" s="6">
        <v>1</v>
      </c>
      <c r="V137" s="6" t="s">
        <v>1685</v>
      </c>
    </row>
    <row r="138" spans="1:34" ht="5.25" hidden="1" customHeight="1" x14ac:dyDescent="0.15">
      <c r="D138" s="6"/>
      <c r="U138" s="6"/>
      <c r="V138" s="6"/>
    </row>
    <row r="139" spans="1:34" ht="5.25" hidden="1" customHeight="1" x14ac:dyDescent="0.15">
      <c r="D139" s="6"/>
      <c r="U139" s="6"/>
      <c r="V139" s="6"/>
    </row>
    <row r="140" spans="1:34" ht="15" hidden="1" customHeight="1" x14ac:dyDescent="0.15">
      <c r="A140" t="s">
        <v>427</v>
      </c>
      <c r="C140" t="s">
        <v>4</v>
      </c>
      <c r="D140" s="6" t="s">
        <v>3210</v>
      </c>
      <c r="E140" s="6" t="s">
        <v>355</v>
      </c>
      <c r="F140" s="6"/>
      <c r="G140" s="6"/>
      <c r="H140" s="6" t="str">
        <f>IF(A140="","",INDEX(DIFFERENTIATION_UNMERGE_VD,MATCH(A140,DIFFERENTIATION_ID_DIFF,0)))</f>
        <v>Передача. Тепловая энергия</v>
      </c>
      <c r="I140" s="6"/>
      <c r="J140" s="6"/>
      <c r="K140" s="6"/>
      <c r="L140" s="6"/>
      <c r="M140" s="6"/>
      <c r="N140" s="6"/>
      <c r="O140" s="6"/>
      <c r="P140" s="6"/>
      <c r="Q140" s="6"/>
      <c r="R140" s="6"/>
      <c r="AC140" s="6"/>
      <c r="AE140" t="s">
        <v>4</v>
      </c>
      <c r="AG140" t="s">
        <v>1679</v>
      </c>
      <c r="AH140">
        <v>3</v>
      </c>
    </row>
    <row r="141" spans="1:34" ht="15" hidden="1" customHeight="1" x14ac:dyDescent="0.15">
      <c r="D141" s="6"/>
      <c r="E141" s="6" t="s">
        <v>1680</v>
      </c>
      <c r="F141" s="6"/>
      <c r="G141" s="6"/>
      <c r="H141" s="6" t="str">
        <f>IF(A140="","",INDEX(DIFFERENTIATION_UNMERGE_AREA,MATCH(A140,DIFFERENTIATION_ID_DIFF,0)))</f>
        <v>Территория 1</v>
      </c>
      <c r="I141" s="6"/>
      <c r="J141" s="6"/>
      <c r="K141" s="6"/>
      <c r="L141" s="6"/>
      <c r="M141" s="6"/>
      <c r="N141" s="6"/>
      <c r="O141" s="6"/>
      <c r="P141" s="6"/>
      <c r="Q141" s="6"/>
      <c r="R141" s="6"/>
      <c r="AC141" s="6"/>
    </row>
    <row r="142" spans="1:34" ht="15" hidden="1" customHeight="1" x14ac:dyDescent="0.15">
      <c r="D142" s="6"/>
      <c r="E142" s="6" t="s">
        <v>1681</v>
      </c>
      <c r="F142" s="6"/>
      <c r="G142" s="6"/>
      <c r="H142" s="6" t="str">
        <f>IF(A140="","",INDEX(DIFFERENTIATION_UNMERGE_SYSTEM,MATCH(A140,DIFFERENTIATION_ID_DIFF,0)))</f>
        <v xml:space="preserve">Лесозаводский городской округ, Лесозаводский городской округ (05711000);
</v>
      </c>
      <c r="I142" s="6"/>
      <c r="J142" s="6"/>
      <c r="K142" s="6"/>
      <c r="L142" s="6"/>
      <c r="M142" s="6"/>
      <c r="N142" s="6"/>
      <c r="O142" s="6"/>
      <c r="P142" s="6"/>
      <c r="Q142" s="6"/>
      <c r="R142" s="6"/>
      <c r="AC142" s="6"/>
    </row>
    <row r="143" spans="1:34" ht="24.75" hidden="1" customHeight="1" x14ac:dyDescent="0.15">
      <c r="D143" s="6"/>
      <c r="E143" s="6" t="s">
        <v>1682</v>
      </c>
      <c r="F143" s="6"/>
      <c r="G143" s="6"/>
      <c r="H143" s="6"/>
      <c r="I143" s="6"/>
      <c r="J143" s="6"/>
      <c r="K143" s="6"/>
      <c r="L143" s="6"/>
      <c r="M143" s="6"/>
      <c r="N143" s="6"/>
      <c r="O143" s="6"/>
      <c r="P143" s="6"/>
      <c r="Q143">
        <f>SUMIF(T144:T145,"i",Q144:Q145)</f>
        <v>0</v>
      </c>
      <c r="S143" t="s">
        <v>1683</v>
      </c>
      <c r="T143" t="s">
        <v>1684</v>
      </c>
      <c r="U143" s="6">
        <v>1</v>
      </c>
      <c r="V143" s="6" t="s">
        <v>1685</v>
      </c>
      <c r="AC143" s="6"/>
    </row>
    <row r="144" spans="1:34" ht="11.25" hidden="1" customHeight="1" x14ac:dyDescent="0.15">
      <c r="D144" s="6"/>
      <c r="F144">
        <v>0</v>
      </c>
      <c r="U144" s="6"/>
      <c r="V144" s="6"/>
      <c r="AC144" s="6"/>
    </row>
    <row r="145" spans="1:34" ht="11.25" hidden="1" customHeight="1" x14ac:dyDescent="0.15">
      <c r="D145" s="6"/>
      <c r="E145" t="s">
        <v>4</v>
      </c>
      <c r="F145" t="s">
        <v>4</v>
      </c>
      <c r="G145" t="s">
        <v>1686</v>
      </c>
      <c r="H145" t="s">
        <v>4</v>
      </c>
      <c r="U145" s="6"/>
      <c r="V145" s="6"/>
      <c r="AC145" s="6"/>
    </row>
    <row r="146" spans="1:34" ht="5.25" hidden="1" customHeight="1" x14ac:dyDescent="0.15">
      <c r="D146" s="6"/>
      <c r="T146" t="s">
        <v>1684</v>
      </c>
      <c r="U146" s="6">
        <v>1</v>
      </c>
      <c r="V146" s="6" t="s">
        <v>1685</v>
      </c>
    </row>
    <row r="147" spans="1:34" ht="5.25" hidden="1" customHeight="1" x14ac:dyDescent="0.15">
      <c r="D147" s="6"/>
      <c r="U147" s="6"/>
      <c r="V147" s="6"/>
    </row>
    <row r="148" spans="1:34" ht="5.25" hidden="1" customHeight="1" x14ac:dyDescent="0.15">
      <c r="D148" s="6"/>
      <c r="U148" s="6"/>
      <c r="V148" s="6"/>
    </row>
    <row r="149" spans="1:34" ht="15" hidden="1" customHeight="1" x14ac:dyDescent="0.15">
      <c r="A149" t="s">
        <v>404</v>
      </c>
      <c r="C149" t="s">
        <v>4</v>
      </c>
      <c r="D149" s="6" t="s">
        <v>3211</v>
      </c>
      <c r="E149" s="6" t="s">
        <v>355</v>
      </c>
      <c r="F149" s="6"/>
      <c r="G149" s="6"/>
      <c r="H149" s="6" t="str">
        <f>IF(A149="","",INDEX(DIFFERENTIATION_UNMERGE_VD,MATCH(A149,DIFFERENTIATION_ID_DIFF,0)))</f>
        <v>Подключение (технологическое присоединение) к системе теплоснабжения</v>
      </c>
      <c r="I149" s="6"/>
      <c r="J149" s="6"/>
      <c r="K149" s="6"/>
      <c r="L149" s="6"/>
      <c r="M149" s="6"/>
      <c r="N149" s="6"/>
      <c r="O149" s="6"/>
      <c r="P149" s="6"/>
      <c r="Q149" s="6"/>
      <c r="R149" s="6"/>
      <c r="AC149" s="6"/>
      <c r="AE149" t="s">
        <v>4</v>
      </c>
      <c r="AG149" t="s">
        <v>1679</v>
      </c>
      <c r="AH149">
        <v>3</v>
      </c>
    </row>
    <row r="150" spans="1:34" ht="15" hidden="1" customHeight="1" x14ac:dyDescent="0.15">
      <c r="D150" s="6"/>
      <c r="E150" s="6" t="s">
        <v>1680</v>
      </c>
      <c r="F150" s="6"/>
      <c r="G150" s="6"/>
      <c r="H150" s="6" t="str">
        <f>IF(A149="","",INDEX(DIFFERENTIATION_UNMERGE_AREA,MATCH(A149,DIFFERENTIATION_ID_DIFF,0)))</f>
        <v>Территория 25</v>
      </c>
      <c r="I150" s="6"/>
      <c r="J150" s="6"/>
      <c r="K150" s="6"/>
      <c r="L150" s="6"/>
      <c r="M150" s="6"/>
      <c r="N150" s="6"/>
      <c r="O150" s="6"/>
      <c r="P150" s="6"/>
      <c r="Q150" s="6"/>
      <c r="R150" s="6"/>
      <c r="AC150" s="6"/>
    </row>
    <row r="151" spans="1:34" ht="15" hidden="1" customHeight="1" x14ac:dyDescent="0.15">
      <c r="D151" s="6"/>
      <c r="E151" s="6" t="s">
        <v>1681</v>
      </c>
      <c r="F151" s="6"/>
      <c r="G151" s="6"/>
      <c r="H151" s="6" t="str">
        <f>IF(A149="","",INDEX(DIFFERENTIATION_UNMERGE_SYSTEM,MATCH(A149,DIFFERENTIATION_ID_DIFF,0)))</f>
        <v>Черниговский муниципальный район</v>
      </c>
      <c r="I151" s="6"/>
      <c r="J151" s="6"/>
      <c r="K151" s="6"/>
      <c r="L151" s="6"/>
      <c r="M151" s="6"/>
      <c r="N151" s="6"/>
      <c r="O151" s="6"/>
      <c r="P151" s="6"/>
      <c r="Q151" s="6"/>
      <c r="R151" s="6"/>
      <c r="AC151" s="6"/>
    </row>
    <row r="152" spans="1:34" ht="24.75" hidden="1" customHeight="1" x14ac:dyDescent="0.15">
      <c r="D152" s="6"/>
      <c r="E152" s="6" t="s">
        <v>1682</v>
      </c>
      <c r="F152" s="6"/>
      <c r="G152" s="6"/>
      <c r="H152" s="6"/>
      <c r="I152" s="6"/>
      <c r="J152" s="6"/>
      <c r="K152" s="6"/>
      <c r="L152" s="6"/>
      <c r="M152" s="6"/>
      <c r="N152" s="6"/>
      <c r="O152" s="6"/>
      <c r="P152" s="6"/>
      <c r="Q152">
        <f>SUMIF(T153:T154,"i",Q153:Q154)</f>
        <v>0</v>
      </c>
      <c r="S152" t="s">
        <v>1683</v>
      </c>
      <c r="T152" t="s">
        <v>1684</v>
      </c>
      <c r="U152" s="6">
        <v>1</v>
      </c>
      <c r="V152" s="6" t="s">
        <v>1685</v>
      </c>
      <c r="AC152" s="6"/>
    </row>
    <row r="153" spans="1:34" ht="11.25" hidden="1" customHeight="1" x14ac:dyDescent="0.15">
      <c r="D153" s="6"/>
      <c r="F153">
        <v>0</v>
      </c>
      <c r="U153" s="6"/>
      <c r="V153" s="6"/>
      <c r="AC153" s="6"/>
    </row>
    <row r="154" spans="1:34" ht="11.25" hidden="1" customHeight="1" x14ac:dyDescent="0.15">
      <c r="D154" s="6"/>
      <c r="E154" t="s">
        <v>4</v>
      </c>
      <c r="F154" t="s">
        <v>4</v>
      </c>
      <c r="G154" t="s">
        <v>1686</v>
      </c>
      <c r="H154" t="s">
        <v>4</v>
      </c>
      <c r="U154" s="6"/>
      <c r="V154" s="6"/>
      <c r="AC154" s="6"/>
    </row>
    <row r="155" spans="1:34" ht="5.25" hidden="1" customHeight="1" x14ac:dyDescent="0.15">
      <c r="D155" s="6"/>
      <c r="T155" t="s">
        <v>1684</v>
      </c>
      <c r="U155" s="6">
        <v>1</v>
      </c>
      <c r="V155" s="6" t="s">
        <v>1685</v>
      </c>
    </row>
    <row r="156" spans="1:34" ht="5.25" hidden="1" customHeight="1" x14ac:dyDescent="0.15">
      <c r="D156" s="6"/>
      <c r="U156" s="6"/>
      <c r="V156" s="6"/>
    </row>
    <row r="157" spans="1:34" ht="5.25" hidden="1" customHeight="1" x14ac:dyDescent="0.15">
      <c r="D157" s="6"/>
      <c r="U157" s="6"/>
      <c r="V157" s="6"/>
    </row>
    <row r="158" spans="1:34" ht="15" hidden="1" customHeight="1" x14ac:dyDescent="0.15">
      <c r="A158" t="s">
        <v>406</v>
      </c>
      <c r="C158" t="s">
        <v>4</v>
      </c>
      <c r="D158" s="6" t="s">
        <v>3212</v>
      </c>
      <c r="E158" s="6" t="s">
        <v>355</v>
      </c>
      <c r="F158" s="6"/>
      <c r="G158" s="6"/>
      <c r="H158" s="6" t="str">
        <f>IF(A158="","",INDEX(DIFFERENTIATION_UNMERGE_VD,MATCH(A158,DIFFERENTIATION_ID_DIFF,0)))</f>
        <v>Подключение (технологическое присоединение) к системе теплоснабжения</v>
      </c>
      <c r="I158" s="6"/>
      <c r="J158" s="6"/>
      <c r="K158" s="6"/>
      <c r="L158" s="6"/>
      <c r="M158" s="6"/>
      <c r="N158" s="6"/>
      <c r="O158" s="6"/>
      <c r="P158" s="6"/>
      <c r="Q158" s="6"/>
      <c r="R158" s="6"/>
      <c r="AC158" s="6"/>
      <c r="AE158" t="s">
        <v>4</v>
      </c>
      <c r="AG158" t="s">
        <v>1679</v>
      </c>
      <c r="AH158">
        <v>3</v>
      </c>
    </row>
    <row r="159" spans="1:34" ht="15" hidden="1" customHeight="1" x14ac:dyDescent="0.15">
      <c r="D159" s="6"/>
      <c r="E159" s="6" t="s">
        <v>1680</v>
      </c>
      <c r="F159" s="6"/>
      <c r="G159" s="6"/>
      <c r="H159" s="6" t="str">
        <f>IF(A158="","",INDEX(DIFFERENTIATION_UNMERGE_AREA,MATCH(A158,DIFFERENTIATION_ID_DIFF,0)))</f>
        <v>Территория 10</v>
      </c>
      <c r="I159" s="6"/>
      <c r="J159" s="6"/>
      <c r="K159" s="6"/>
      <c r="L159" s="6"/>
      <c r="M159" s="6"/>
      <c r="N159" s="6"/>
      <c r="O159" s="6"/>
      <c r="P159" s="6"/>
      <c r="Q159" s="6"/>
      <c r="R159" s="6"/>
      <c r="AC159" s="6"/>
    </row>
    <row r="160" spans="1:34" ht="15" hidden="1" customHeight="1" x14ac:dyDescent="0.15">
      <c r="D160" s="6"/>
      <c r="E160" s="6" t="s">
        <v>1681</v>
      </c>
      <c r="F160" s="6"/>
      <c r="G160" s="6"/>
      <c r="H160" s="6" t="str">
        <f>IF(A158="","",INDEX(DIFFERENTIATION_UNMERGE_SYSTEM,MATCH(A158,DIFFERENTIATION_ID_DIFF,0)))</f>
        <v>Спасское МО</v>
      </c>
      <c r="I160" s="6"/>
      <c r="J160" s="6"/>
      <c r="K160" s="6"/>
      <c r="L160" s="6"/>
      <c r="M160" s="6"/>
      <c r="N160" s="6"/>
      <c r="O160" s="6"/>
      <c r="P160" s="6"/>
      <c r="Q160" s="6"/>
      <c r="R160" s="6"/>
      <c r="AC160" s="6"/>
    </row>
    <row r="161" spans="1:34" ht="24.75" hidden="1" customHeight="1" x14ac:dyDescent="0.15">
      <c r="D161" s="6"/>
      <c r="E161" s="6" t="s">
        <v>1682</v>
      </c>
      <c r="F161" s="6"/>
      <c r="G161" s="6"/>
      <c r="H161" s="6"/>
      <c r="I161" s="6"/>
      <c r="J161" s="6"/>
      <c r="K161" s="6"/>
      <c r="L161" s="6"/>
      <c r="M161" s="6"/>
      <c r="N161" s="6"/>
      <c r="O161" s="6"/>
      <c r="P161" s="6"/>
      <c r="Q161">
        <f>SUMIF(T162:T163,"i",Q162:Q163)</f>
        <v>0</v>
      </c>
      <c r="S161" t="s">
        <v>1683</v>
      </c>
      <c r="T161" t="s">
        <v>1684</v>
      </c>
      <c r="U161" s="6">
        <v>1</v>
      </c>
      <c r="V161" s="6" t="s">
        <v>1685</v>
      </c>
      <c r="AC161" s="6"/>
    </row>
    <row r="162" spans="1:34" ht="11.25" hidden="1" customHeight="1" x14ac:dyDescent="0.15">
      <c r="D162" s="6"/>
      <c r="F162">
        <v>0</v>
      </c>
      <c r="U162" s="6"/>
      <c r="V162" s="6"/>
      <c r="AC162" s="6"/>
    </row>
    <row r="163" spans="1:34" ht="11.25" hidden="1" customHeight="1" x14ac:dyDescent="0.15">
      <c r="D163" s="6"/>
      <c r="E163" t="s">
        <v>4</v>
      </c>
      <c r="F163" t="s">
        <v>4</v>
      </c>
      <c r="G163" t="s">
        <v>1686</v>
      </c>
      <c r="H163" t="s">
        <v>4</v>
      </c>
      <c r="U163" s="6"/>
      <c r="V163" s="6"/>
      <c r="AC163" s="6"/>
    </row>
    <row r="164" spans="1:34" ht="5.25" hidden="1" customHeight="1" x14ac:dyDescent="0.15">
      <c r="D164" s="6"/>
      <c r="T164" t="s">
        <v>1684</v>
      </c>
      <c r="U164" s="6">
        <v>1</v>
      </c>
      <c r="V164" s="6" t="s">
        <v>1685</v>
      </c>
    </row>
    <row r="165" spans="1:34" ht="5.25" hidden="1" customHeight="1" x14ac:dyDescent="0.15">
      <c r="D165" s="6"/>
      <c r="U165" s="6"/>
      <c r="V165" s="6"/>
    </row>
    <row r="166" spans="1:34" ht="5.25" hidden="1" customHeight="1" x14ac:dyDescent="0.15">
      <c r="D166" s="6"/>
      <c r="U166" s="6"/>
      <c r="V166" s="6"/>
    </row>
    <row r="167" spans="1:34" ht="15" hidden="1" customHeight="1" x14ac:dyDescent="0.15">
      <c r="A167" t="s">
        <v>408</v>
      </c>
      <c r="C167" t="s">
        <v>4</v>
      </c>
      <c r="D167" s="6" t="s">
        <v>3213</v>
      </c>
      <c r="E167" s="6" t="s">
        <v>355</v>
      </c>
      <c r="F167" s="6"/>
      <c r="G167" s="6"/>
      <c r="H167" s="6" t="str">
        <f>IF(A167="","",INDEX(DIFFERENTIATION_UNMERGE_VD,MATCH(A167,DIFFERENTIATION_ID_DIFF,0)))</f>
        <v>Подключение (технологическое присоединение) к системе теплоснабжения</v>
      </c>
      <c r="I167" s="6"/>
      <c r="J167" s="6"/>
      <c r="K167" s="6"/>
      <c r="L167" s="6"/>
      <c r="M167" s="6"/>
      <c r="N167" s="6"/>
      <c r="O167" s="6"/>
      <c r="P167" s="6"/>
      <c r="Q167" s="6"/>
      <c r="R167" s="6"/>
      <c r="AC167" s="6"/>
      <c r="AE167" t="s">
        <v>4</v>
      </c>
      <c r="AG167" t="s">
        <v>1679</v>
      </c>
      <c r="AH167">
        <v>3</v>
      </c>
    </row>
    <row r="168" spans="1:34" ht="15" hidden="1" customHeight="1" x14ac:dyDescent="0.15">
      <c r="D168" s="6"/>
      <c r="E168" s="6" t="s">
        <v>1680</v>
      </c>
      <c r="F168" s="6"/>
      <c r="G168" s="6"/>
      <c r="H168" s="6" t="str">
        <f>IF(A167="","",INDEX(DIFFERENTIATION_UNMERGE_AREA,MATCH(A167,DIFFERENTIATION_ID_DIFF,0)))</f>
        <v>Территория 9</v>
      </c>
      <c r="I168" s="6"/>
      <c r="J168" s="6"/>
      <c r="K168" s="6"/>
      <c r="L168" s="6"/>
      <c r="M168" s="6"/>
      <c r="N168" s="6"/>
      <c r="O168" s="6"/>
      <c r="P168" s="6"/>
      <c r="Q168" s="6"/>
      <c r="R168" s="6"/>
      <c r="AC168" s="6"/>
    </row>
    <row r="169" spans="1:34" ht="15" hidden="1" customHeight="1" x14ac:dyDescent="0.15">
      <c r="D169" s="6"/>
      <c r="E169" s="6" t="s">
        <v>1681</v>
      </c>
      <c r="F169" s="6"/>
      <c r="G169" s="6"/>
      <c r="H169" s="6" t="str">
        <f>IF(A167="","",INDEX(DIFFERENTIATION_UNMERGE_SYSTEM,MATCH(A167,DIFFERENTIATION_ID_DIFF,0)))</f>
        <v>Городской округ Спасск Дальний</v>
      </c>
      <c r="I169" s="6"/>
      <c r="J169" s="6"/>
      <c r="K169" s="6"/>
      <c r="L169" s="6"/>
      <c r="M169" s="6"/>
      <c r="N169" s="6"/>
      <c r="O169" s="6"/>
      <c r="P169" s="6"/>
      <c r="Q169" s="6"/>
      <c r="R169" s="6"/>
      <c r="AC169" s="6"/>
    </row>
    <row r="170" spans="1:34" ht="24.75" hidden="1" customHeight="1" x14ac:dyDescent="0.15">
      <c r="D170" s="6"/>
      <c r="E170" s="6" t="s">
        <v>1682</v>
      </c>
      <c r="F170" s="6"/>
      <c r="G170" s="6"/>
      <c r="H170" s="6"/>
      <c r="I170" s="6"/>
      <c r="J170" s="6"/>
      <c r="K170" s="6"/>
      <c r="L170" s="6"/>
      <c r="M170" s="6"/>
      <c r="N170" s="6"/>
      <c r="O170" s="6"/>
      <c r="P170" s="6"/>
      <c r="Q170">
        <f>SUMIF(T171:T172,"i",Q171:Q172)</f>
        <v>0</v>
      </c>
      <c r="S170" t="s">
        <v>1683</v>
      </c>
      <c r="T170" t="s">
        <v>1684</v>
      </c>
      <c r="U170" s="6">
        <v>1</v>
      </c>
      <c r="V170" s="6" t="s">
        <v>1685</v>
      </c>
      <c r="AC170" s="6"/>
    </row>
    <row r="171" spans="1:34" ht="11.25" hidden="1" customHeight="1" x14ac:dyDescent="0.15">
      <c r="D171" s="6"/>
      <c r="F171">
        <v>0</v>
      </c>
      <c r="U171" s="6"/>
      <c r="V171" s="6"/>
      <c r="AC171" s="6"/>
    </row>
    <row r="172" spans="1:34" ht="11.25" hidden="1" customHeight="1" x14ac:dyDescent="0.15">
      <c r="D172" s="6"/>
      <c r="E172" t="s">
        <v>4</v>
      </c>
      <c r="F172" t="s">
        <v>4</v>
      </c>
      <c r="G172" t="s">
        <v>1686</v>
      </c>
      <c r="H172" t="s">
        <v>4</v>
      </c>
      <c r="U172" s="6"/>
      <c r="V172" s="6"/>
      <c r="AC172" s="6"/>
    </row>
    <row r="173" spans="1:34" ht="5.25" hidden="1" customHeight="1" x14ac:dyDescent="0.15">
      <c r="D173" s="6"/>
      <c r="T173" t="s">
        <v>1684</v>
      </c>
      <c r="U173" s="6">
        <v>1</v>
      </c>
      <c r="V173" s="6" t="s">
        <v>1685</v>
      </c>
    </row>
    <row r="174" spans="1:34" ht="5.25" hidden="1" customHeight="1" x14ac:dyDescent="0.15">
      <c r="D174" s="6"/>
      <c r="U174" s="6"/>
      <c r="V174" s="6"/>
    </row>
    <row r="175" spans="1:34" ht="5.25" hidden="1" customHeight="1" x14ac:dyDescent="0.15">
      <c r="D175" s="6"/>
      <c r="U175" s="6"/>
      <c r="V175" s="6"/>
    </row>
    <row r="176" spans="1:34" ht="15" hidden="1" customHeight="1" x14ac:dyDescent="0.15">
      <c r="A176" t="s">
        <v>410</v>
      </c>
      <c r="C176" t="s">
        <v>4</v>
      </c>
      <c r="D176" s="6" t="s">
        <v>3214</v>
      </c>
      <c r="E176" s="6" t="s">
        <v>355</v>
      </c>
      <c r="F176" s="6"/>
      <c r="G176" s="6"/>
      <c r="H176" s="6" t="str">
        <f>IF(A176="","",INDEX(DIFFERENTIATION_UNMERGE_VD,MATCH(A176,DIFFERENTIATION_ID_DIFF,0)))</f>
        <v>Подключение (технологическое присоединение) к системе теплоснабжения</v>
      </c>
      <c r="I176" s="6"/>
      <c r="J176" s="6"/>
      <c r="K176" s="6"/>
      <c r="L176" s="6"/>
      <c r="M176" s="6"/>
      <c r="N176" s="6"/>
      <c r="O176" s="6"/>
      <c r="P176" s="6"/>
      <c r="Q176" s="6"/>
      <c r="R176" s="6"/>
      <c r="AC176" s="6"/>
      <c r="AE176" t="s">
        <v>4</v>
      </c>
      <c r="AG176" t="s">
        <v>1679</v>
      </c>
      <c r="AH176">
        <v>3</v>
      </c>
    </row>
    <row r="177" spans="1:34" ht="15" hidden="1" customHeight="1" x14ac:dyDescent="0.15">
      <c r="D177" s="6"/>
      <c r="E177" s="6" t="s">
        <v>1680</v>
      </c>
      <c r="F177" s="6"/>
      <c r="G177" s="6"/>
      <c r="H177" s="6" t="str">
        <f>IF(A176="","",INDEX(DIFFERENTIATION_UNMERGE_AREA,MATCH(A176,DIFFERENTIATION_ID_DIFF,0)))</f>
        <v>Территория 4</v>
      </c>
      <c r="I177" s="6"/>
      <c r="J177" s="6"/>
      <c r="K177" s="6"/>
      <c r="L177" s="6"/>
      <c r="M177" s="6"/>
      <c r="N177" s="6"/>
      <c r="O177" s="6"/>
      <c r="P177" s="6"/>
      <c r="Q177" s="6"/>
      <c r="R177" s="6"/>
      <c r="AC177" s="6"/>
    </row>
    <row r="178" spans="1:34" ht="15" hidden="1" customHeight="1" x14ac:dyDescent="0.15">
      <c r="D178" s="6"/>
      <c r="E178" s="6" t="s">
        <v>1681</v>
      </c>
      <c r="F178" s="6"/>
      <c r="G178" s="6"/>
      <c r="H178" s="6" t="str">
        <f>IF(A176="","",INDEX(DIFFERENTIATION_UNMERGE_SYSTEM,MATCH(A176,DIFFERENTIATION_ID_DIFF,0)))</f>
        <v>Дальнереченский  городской округ</v>
      </c>
      <c r="I178" s="6"/>
      <c r="J178" s="6"/>
      <c r="K178" s="6"/>
      <c r="L178" s="6"/>
      <c r="M178" s="6"/>
      <c r="N178" s="6"/>
      <c r="O178" s="6"/>
      <c r="P178" s="6"/>
      <c r="Q178" s="6"/>
      <c r="R178" s="6"/>
      <c r="AC178" s="6"/>
    </row>
    <row r="179" spans="1:34" ht="24.75" hidden="1" customHeight="1" x14ac:dyDescent="0.15">
      <c r="D179" s="6"/>
      <c r="E179" s="6" t="s">
        <v>1682</v>
      </c>
      <c r="F179" s="6"/>
      <c r="G179" s="6"/>
      <c r="H179" s="6"/>
      <c r="I179" s="6"/>
      <c r="J179" s="6"/>
      <c r="K179" s="6"/>
      <c r="L179" s="6"/>
      <c r="M179" s="6"/>
      <c r="N179" s="6"/>
      <c r="O179" s="6"/>
      <c r="P179" s="6"/>
      <c r="Q179">
        <f>SUMIF(T180:T181,"i",Q180:Q181)</f>
        <v>0</v>
      </c>
      <c r="S179" t="s">
        <v>1683</v>
      </c>
      <c r="T179" t="s">
        <v>1684</v>
      </c>
      <c r="U179" s="6">
        <v>1</v>
      </c>
      <c r="V179" s="6" t="s">
        <v>1685</v>
      </c>
      <c r="AC179" s="6"/>
    </row>
    <row r="180" spans="1:34" ht="11.25" hidden="1" customHeight="1" x14ac:dyDescent="0.15">
      <c r="D180" s="6"/>
      <c r="F180">
        <v>0</v>
      </c>
      <c r="U180" s="6"/>
      <c r="V180" s="6"/>
      <c r="AC180" s="6"/>
    </row>
    <row r="181" spans="1:34" ht="11.25" hidden="1" customHeight="1" x14ac:dyDescent="0.15">
      <c r="D181" s="6"/>
      <c r="E181" t="s">
        <v>4</v>
      </c>
      <c r="F181" t="s">
        <v>4</v>
      </c>
      <c r="G181" t="s">
        <v>1686</v>
      </c>
      <c r="H181" t="s">
        <v>4</v>
      </c>
      <c r="U181" s="6"/>
      <c r="V181" s="6"/>
      <c r="AC181" s="6"/>
    </row>
    <row r="182" spans="1:34" ht="5.25" hidden="1" customHeight="1" x14ac:dyDescent="0.15">
      <c r="D182" s="6"/>
      <c r="T182" t="s">
        <v>1684</v>
      </c>
      <c r="U182" s="6">
        <v>1</v>
      </c>
      <c r="V182" s="6" t="s">
        <v>1685</v>
      </c>
    </row>
    <row r="183" spans="1:34" ht="5.25" hidden="1" customHeight="1" x14ac:dyDescent="0.15">
      <c r="D183" s="6"/>
      <c r="U183" s="6"/>
      <c r="V183" s="6"/>
    </row>
    <row r="184" spans="1:34" ht="5.25" hidden="1" customHeight="1" x14ac:dyDescent="0.15">
      <c r="D184" s="6"/>
      <c r="U184" s="6"/>
      <c r="V184" s="6"/>
    </row>
    <row r="185" spans="1:34" ht="15" hidden="1" customHeight="1" x14ac:dyDescent="0.15">
      <c r="A185" t="s">
        <v>412</v>
      </c>
      <c r="C185" t="s">
        <v>4</v>
      </c>
      <c r="D185" s="6" t="s">
        <v>3215</v>
      </c>
      <c r="E185" s="6" t="s">
        <v>355</v>
      </c>
      <c r="F185" s="6"/>
      <c r="G185" s="6"/>
      <c r="H185" s="6" t="str">
        <f>IF(A185="","",INDEX(DIFFERENTIATION_UNMERGE_VD,MATCH(A185,DIFFERENTIATION_ID_DIFF,0)))</f>
        <v>Подключение (технологическое присоединение) к системе теплоснабжения</v>
      </c>
      <c r="I185" s="6"/>
      <c r="J185" s="6"/>
      <c r="K185" s="6"/>
      <c r="L185" s="6"/>
      <c r="M185" s="6"/>
      <c r="N185" s="6"/>
      <c r="O185" s="6"/>
      <c r="P185" s="6"/>
      <c r="Q185" s="6"/>
      <c r="R185" s="6"/>
      <c r="AC185" s="6"/>
      <c r="AE185" t="s">
        <v>4</v>
      </c>
      <c r="AG185" t="s">
        <v>1679</v>
      </c>
      <c r="AH185">
        <v>3</v>
      </c>
    </row>
    <row r="186" spans="1:34" ht="15" hidden="1" customHeight="1" x14ac:dyDescent="0.15">
      <c r="D186" s="6"/>
      <c r="E186" s="6" t="s">
        <v>1680</v>
      </c>
      <c r="F186" s="6"/>
      <c r="G186" s="6"/>
      <c r="H186" s="6" t="str">
        <f>IF(A185="","",INDEX(DIFFERENTIATION_UNMERGE_AREA,MATCH(A185,DIFFERENTIATION_ID_DIFF,0)))</f>
        <v>Территория 21</v>
      </c>
      <c r="I186" s="6"/>
      <c r="J186" s="6"/>
      <c r="K186" s="6"/>
      <c r="L186" s="6"/>
      <c r="M186" s="6"/>
      <c r="N186" s="6"/>
      <c r="O186" s="6"/>
      <c r="P186" s="6"/>
      <c r="Q186" s="6"/>
      <c r="R186" s="6"/>
      <c r="AC186" s="6"/>
    </row>
    <row r="187" spans="1:34" ht="15" hidden="1" customHeight="1" x14ac:dyDescent="0.15">
      <c r="D187" s="6"/>
      <c r="E187" s="6" t="s">
        <v>1681</v>
      </c>
      <c r="F187" s="6"/>
      <c r="G187" s="6"/>
      <c r="H187" s="6" t="str">
        <f>IF(A185="","",INDEX(DIFFERENTIATION_UNMERGE_SYSTEM,MATCH(A185,DIFFERENTIATION_ID_DIFF,0)))</f>
        <v>Пожарский муниципальное образование</v>
      </c>
      <c r="I187" s="6"/>
      <c r="J187" s="6"/>
      <c r="K187" s="6"/>
      <c r="L187" s="6"/>
      <c r="M187" s="6"/>
      <c r="N187" s="6"/>
      <c r="O187" s="6"/>
      <c r="P187" s="6"/>
      <c r="Q187" s="6"/>
      <c r="R187" s="6"/>
      <c r="AC187" s="6"/>
    </row>
    <row r="188" spans="1:34" ht="24.75" hidden="1" customHeight="1" x14ac:dyDescent="0.15">
      <c r="D188" s="6"/>
      <c r="E188" s="6" t="s">
        <v>1682</v>
      </c>
      <c r="F188" s="6"/>
      <c r="G188" s="6"/>
      <c r="H188" s="6"/>
      <c r="I188" s="6"/>
      <c r="J188" s="6"/>
      <c r="K188" s="6"/>
      <c r="L188" s="6"/>
      <c r="M188" s="6"/>
      <c r="N188" s="6"/>
      <c r="O188" s="6"/>
      <c r="P188" s="6"/>
      <c r="Q188">
        <f>SUMIF(T189:T190,"i",Q189:Q190)</f>
        <v>0</v>
      </c>
      <c r="S188" t="s">
        <v>1683</v>
      </c>
      <c r="T188" t="s">
        <v>1684</v>
      </c>
      <c r="U188" s="6">
        <v>1</v>
      </c>
      <c r="V188" s="6" t="s">
        <v>1685</v>
      </c>
      <c r="AC188" s="6"/>
    </row>
    <row r="189" spans="1:34" ht="11.25" hidden="1" customHeight="1" x14ac:dyDescent="0.15">
      <c r="D189" s="6"/>
      <c r="F189">
        <v>0</v>
      </c>
      <c r="U189" s="6"/>
      <c r="V189" s="6"/>
      <c r="AC189" s="6"/>
    </row>
    <row r="190" spans="1:34" ht="11.25" hidden="1" customHeight="1" x14ac:dyDescent="0.15">
      <c r="D190" s="6"/>
      <c r="E190" t="s">
        <v>4</v>
      </c>
      <c r="F190" t="s">
        <v>4</v>
      </c>
      <c r="G190" t="s">
        <v>1686</v>
      </c>
      <c r="H190" t="s">
        <v>4</v>
      </c>
      <c r="U190" s="6"/>
      <c r="V190" s="6"/>
      <c r="AC190" s="6"/>
    </row>
    <row r="191" spans="1:34" ht="5.25" hidden="1" customHeight="1" x14ac:dyDescent="0.15">
      <c r="D191" s="6"/>
      <c r="T191" t="s">
        <v>1684</v>
      </c>
      <c r="U191" s="6">
        <v>1</v>
      </c>
      <c r="V191" s="6" t="s">
        <v>1685</v>
      </c>
    </row>
    <row r="192" spans="1:34" ht="5.25" hidden="1" customHeight="1" x14ac:dyDescent="0.15">
      <c r="D192" s="6"/>
      <c r="U192" s="6"/>
      <c r="V192" s="6"/>
    </row>
    <row r="193" spans="1:34" ht="5.25" hidden="1" customHeight="1" x14ac:dyDescent="0.15">
      <c r="D193" s="6"/>
      <c r="U193" s="6"/>
      <c r="V193" s="6"/>
    </row>
    <row r="194" spans="1:34" ht="15" hidden="1" customHeight="1" x14ac:dyDescent="0.15">
      <c r="A194" t="s">
        <v>413</v>
      </c>
      <c r="C194" t="s">
        <v>4</v>
      </c>
      <c r="D194" s="6" t="s">
        <v>3216</v>
      </c>
      <c r="E194" s="6" t="s">
        <v>355</v>
      </c>
      <c r="F194" s="6"/>
      <c r="G194" s="6"/>
      <c r="H194" s="6" t="str">
        <f>IF(A194="","",INDEX(DIFFERENTIATION_UNMERGE_VD,MATCH(A194,DIFFERENTIATION_ID_DIFF,0)))</f>
        <v>Подключение (технологическое присоединение) к системе теплоснабжения</v>
      </c>
      <c r="I194" s="6"/>
      <c r="J194" s="6"/>
      <c r="K194" s="6"/>
      <c r="L194" s="6"/>
      <c r="M194" s="6"/>
      <c r="N194" s="6"/>
      <c r="O194" s="6"/>
      <c r="P194" s="6"/>
      <c r="Q194" s="6"/>
      <c r="R194" s="6"/>
      <c r="AC194" s="6"/>
      <c r="AE194" t="s">
        <v>4</v>
      </c>
      <c r="AG194" t="s">
        <v>1679</v>
      </c>
      <c r="AH194">
        <v>3</v>
      </c>
    </row>
    <row r="195" spans="1:34" ht="15" hidden="1" customHeight="1" x14ac:dyDescent="0.15">
      <c r="D195" s="6"/>
      <c r="E195" s="6" t="s">
        <v>1680</v>
      </c>
      <c r="F195" s="6"/>
      <c r="G195" s="6"/>
      <c r="H195" s="6" t="str">
        <f>IF(A194="","",INDEX(DIFFERENTIATION_UNMERGE_AREA,MATCH(A194,DIFFERENTIATION_ID_DIFF,0)))</f>
        <v>Территория 16</v>
      </c>
      <c r="I195" s="6"/>
      <c r="J195" s="6"/>
      <c r="K195" s="6"/>
      <c r="L195" s="6"/>
      <c r="M195" s="6"/>
      <c r="N195" s="6"/>
      <c r="O195" s="6"/>
      <c r="P195" s="6"/>
      <c r="Q195" s="6"/>
      <c r="R195" s="6"/>
      <c r="AC195" s="6"/>
    </row>
    <row r="196" spans="1:34" ht="15" hidden="1" customHeight="1" x14ac:dyDescent="0.15">
      <c r="D196" s="6"/>
      <c r="E196" s="6" t="s">
        <v>1681</v>
      </c>
      <c r="F196" s="6"/>
      <c r="G196" s="6"/>
      <c r="H196" s="6" t="str">
        <f>IF(A194="","",INDEX(DIFFERENTIATION_UNMERGE_SYSTEM,MATCH(A194,DIFFERENTIATION_ID_DIFF,0)))</f>
        <v>Михайловский муниципальный район</v>
      </c>
      <c r="I196" s="6"/>
      <c r="J196" s="6"/>
      <c r="K196" s="6"/>
      <c r="L196" s="6"/>
      <c r="M196" s="6"/>
      <c r="N196" s="6"/>
      <c r="O196" s="6"/>
      <c r="P196" s="6"/>
      <c r="Q196" s="6"/>
      <c r="R196" s="6"/>
      <c r="AC196" s="6"/>
    </row>
    <row r="197" spans="1:34" ht="24.75" hidden="1" customHeight="1" x14ac:dyDescent="0.15">
      <c r="D197" s="6"/>
      <c r="E197" s="6" t="s">
        <v>1682</v>
      </c>
      <c r="F197" s="6"/>
      <c r="G197" s="6"/>
      <c r="H197" s="6"/>
      <c r="I197" s="6"/>
      <c r="J197" s="6"/>
      <c r="K197" s="6"/>
      <c r="L197" s="6"/>
      <c r="M197" s="6"/>
      <c r="N197" s="6"/>
      <c r="O197" s="6"/>
      <c r="P197" s="6"/>
      <c r="Q197">
        <f>SUMIF(T198:T199,"i",Q198:Q199)</f>
        <v>0</v>
      </c>
      <c r="S197" t="s">
        <v>1683</v>
      </c>
      <c r="T197" t="s">
        <v>1684</v>
      </c>
      <c r="U197" s="6">
        <v>1</v>
      </c>
      <c r="V197" s="6" t="s">
        <v>1685</v>
      </c>
      <c r="AC197" s="6"/>
    </row>
    <row r="198" spans="1:34" ht="11.25" hidden="1" customHeight="1" x14ac:dyDescent="0.15">
      <c r="D198" s="6"/>
      <c r="F198">
        <v>0</v>
      </c>
      <c r="U198" s="6"/>
      <c r="V198" s="6"/>
      <c r="AC198" s="6"/>
    </row>
    <row r="199" spans="1:34" ht="11.25" hidden="1" customHeight="1" x14ac:dyDescent="0.15">
      <c r="D199" s="6"/>
      <c r="E199" t="s">
        <v>4</v>
      </c>
      <c r="F199" t="s">
        <v>4</v>
      </c>
      <c r="G199" t="s">
        <v>1686</v>
      </c>
      <c r="H199" t="s">
        <v>4</v>
      </c>
      <c r="U199" s="6"/>
      <c r="V199" s="6"/>
      <c r="AC199" s="6"/>
    </row>
    <row r="200" spans="1:34" ht="5.25" hidden="1" customHeight="1" x14ac:dyDescent="0.15">
      <c r="D200" s="6"/>
      <c r="T200" t="s">
        <v>1684</v>
      </c>
      <c r="U200" s="6">
        <v>1</v>
      </c>
      <c r="V200" s="6" t="s">
        <v>1685</v>
      </c>
    </row>
    <row r="201" spans="1:34" ht="5.25" hidden="1" customHeight="1" x14ac:dyDescent="0.15">
      <c r="D201" s="6"/>
      <c r="U201" s="6"/>
      <c r="V201" s="6"/>
    </row>
    <row r="202" spans="1:34" ht="5.25" hidden="1" customHeight="1" x14ac:dyDescent="0.15">
      <c r="D202" s="6"/>
      <c r="U202" s="6"/>
      <c r="V202" s="6"/>
    </row>
    <row r="203" spans="1:34" ht="15" hidden="1" customHeight="1" x14ac:dyDescent="0.15">
      <c r="A203" t="s">
        <v>415</v>
      </c>
      <c r="C203" t="s">
        <v>4</v>
      </c>
      <c r="D203" s="6" t="s">
        <v>3217</v>
      </c>
      <c r="E203" s="6" t="s">
        <v>355</v>
      </c>
      <c r="F203" s="6"/>
      <c r="G203" s="6"/>
      <c r="H203" s="6" t="str">
        <f>IF(A203="","",INDEX(DIFFERENTIATION_UNMERGE_VD,MATCH(A203,DIFFERENTIATION_ID_DIFF,0)))</f>
        <v>Подключение (технологическое присоединение) к системе теплоснабжения</v>
      </c>
      <c r="I203" s="6"/>
      <c r="J203" s="6"/>
      <c r="K203" s="6"/>
      <c r="L203" s="6"/>
      <c r="M203" s="6"/>
      <c r="N203" s="6"/>
      <c r="O203" s="6"/>
      <c r="P203" s="6"/>
      <c r="Q203" s="6"/>
      <c r="R203" s="6"/>
      <c r="AC203" s="6"/>
      <c r="AE203" t="s">
        <v>4</v>
      </c>
      <c r="AG203" t="s">
        <v>1679</v>
      </c>
      <c r="AH203">
        <v>3</v>
      </c>
    </row>
    <row r="204" spans="1:34" ht="15" hidden="1" customHeight="1" x14ac:dyDescent="0.15">
      <c r="D204" s="6"/>
      <c r="E204" s="6" t="s">
        <v>1680</v>
      </c>
      <c r="F204" s="6"/>
      <c r="G204" s="6"/>
      <c r="H204" s="6" t="str">
        <f>IF(A203="","",INDEX(DIFFERENTIATION_UNMERGE_AREA,MATCH(A203,DIFFERENTIATION_ID_DIFF,0)))</f>
        <v>Территория 22</v>
      </c>
      <c r="I204" s="6"/>
      <c r="J204" s="6"/>
      <c r="K204" s="6"/>
      <c r="L204" s="6"/>
      <c r="M204" s="6"/>
      <c r="N204" s="6"/>
      <c r="O204" s="6"/>
      <c r="P204" s="6"/>
      <c r="Q204" s="6"/>
      <c r="R204" s="6"/>
      <c r="AC204" s="6"/>
    </row>
    <row r="205" spans="1:34" ht="15" hidden="1" customHeight="1" x14ac:dyDescent="0.15">
      <c r="D205" s="6"/>
      <c r="E205" s="6" t="s">
        <v>1681</v>
      </c>
      <c r="F205" s="6"/>
      <c r="G205" s="6"/>
      <c r="H205" s="6" t="str">
        <f>IF(A203="","",INDEX(DIFFERENTIATION_UNMERGE_SYSTEM,MATCH(A203,DIFFERENTIATION_ID_DIFF,0)))</f>
        <v>Ханкайский муниципальный район</v>
      </c>
      <c r="I205" s="6"/>
      <c r="J205" s="6"/>
      <c r="K205" s="6"/>
      <c r="L205" s="6"/>
      <c r="M205" s="6"/>
      <c r="N205" s="6"/>
      <c r="O205" s="6"/>
      <c r="P205" s="6"/>
      <c r="Q205" s="6"/>
      <c r="R205" s="6"/>
      <c r="AC205" s="6"/>
    </row>
    <row r="206" spans="1:34" ht="24.75" hidden="1" customHeight="1" x14ac:dyDescent="0.15">
      <c r="D206" s="6"/>
      <c r="E206" s="6" t="s">
        <v>1682</v>
      </c>
      <c r="F206" s="6"/>
      <c r="G206" s="6"/>
      <c r="H206" s="6"/>
      <c r="I206" s="6"/>
      <c r="J206" s="6"/>
      <c r="K206" s="6"/>
      <c r="L206" s="6"/>
      <c r="M206" s="6"/>
      <c r="N206" s="6"/>
      <c r="O206" s="6"/>
      <c r="P206" s="6"/>
      <c r="Q206">
        <f>SUMIF(T207:T208,"i",Q207:Q208)</f>
        <v>0</v>
      </c>
      <c r="S206" t="s">
        <v>1683</v>
      </c>
      <c r="T206" t="s">
        <v>1684</v>
      </c>
      <c r="U206" s="6">
        <v>1</v>
      </c>
      <c r="V206" s="6" t="s">
        <v>1685</v>
      </c>
      <c r="AC206" s="6"/>
    </row>
    <row r="207" spans="1:34" ht="11.25" hidden="1" customHeight="1" x14ac:dyDescent="0.15">
      <c r="D207" s="6"/>
      <c r="F207">
        <v>0</v>
      </c>
      <c r="U207" s="6"/>
      <c r="V207" s="6"/>
      <c r="AC207" s="6"/>
    </row>
    <row r="208" spans="1:34" ht="11.25" hidden="1" customHeight="1" x14ac:dyDescent="0.15">
      <c r="D208" s="6"/>
      <c r="E208" t="s">
        <v>4</v>
      </c>
      <c r="F208" t="s">
        <v>4</v>
      </c>
      <c r="G208" t="s">
        <v>1686</v>
      </c>
      <c r="H208" t="s">
        <v>4</v>
      </c>
      <c r="U208" s="6"/>
      <c r="V208" s="6"/>
      <c r="AC208" s="6"/>
    </row>
    <row r="209" spans="1:34" ht="5.25" hidden="1" customHeight="1" x14ac:dyDescent="0.15">
      <c r="D209" s="6"/>
      <c r="T209" t="s">
        <v>1684</v>
      </c>
      <c r="U209" s="6">
        <v>1</v>
      </c>
      <c r="V209" s="6" t="s">
        <v>1685</v>
      </c>
    </row>
    <row r="210" spans="1:34" ht="5.25" hidden="1" customHeight="1" x14ac:dyDescent="0.15">
      <c r="D210" s="6"/>
      <c r="U210" s="6"/>
      <c r="V210" s="6"/>
    </row>
    <row r="211" spans="1:34" ht="5.25" hidden="1" customHeight="1" x14ac:dyDescent="0.15">
      <c r="D211" s="6"/>
      <c r="U211" s="6"/>
      <c r="V211" s="6"/>
    </row>
    <row r="212" spans="1:34" ht="15" hidden="1" customHeight="1" x14ac:dyDescent="0.15">
      <c r="A212" t="s">
        <v>416</v>
      </c>
      <c r="C212" t="s">
        <v>4</v>
      </c>
      <c r="D212" s="6" t="s">
        <v>3218</v>
      </c>
      <c r="E212" s="6" t="s">
        <v>355</v>
      </c>
      <c r="F212" s="6"/>
      <c r="G212" s="6"/>
      <c r="H212" s="6" t="str">
        <f>IF(A212="","",INDEX(DIFFERENTIATION_UNMERGE_VD,MATCH(A212,DIFFERENTIATION_ID_DIFF,0)))</f>
        <v>Подключение (технологическое присоединение) к системе теплоснабжения</v>
      </c>
      <c r="I212" s="6"/>
      <c r="J212" s="6"/>
      <c r="K212" s="6"/>
      <c r="L212" s="6"/>
      <c r="M212" s="6"/>
      <c r="N212" s="6"/>
      <c r="O212" s="6"/>
      <c r="P212" s="6"/>
      <c r="Q212" s="6"/>
      <c r="R212" s="6"/>
      <c r="AC212" s="6"/>
      <c r="AE212" t="s">
        <v>4</v>
      </c>
      <c r="AG212" t="s">
        <v>1679</v>
      </c>
      <c r="AH212">
        <v>3</v>
      </c>
    </row>
    <row r="213" spans="1:34" ht="15" hidden="1" customHeight="1" x14ac:dyDescent="0.15">
      <c r="D213" s="6"/>
      <c r="E213" s="6" t="s">
        <v>1680</v>
      </c>
      <c r="F213" s="6"/>
      <c r="G213" s="6"/>
      <c r="H213" s="6" t="str">
        <f>IF(A212="","",INDEX(DIFFERENTIATION_UNMERGE_AREA,MATCH(A212,DIFFERENTIATION_ID_DIFF,0)))</f>
        <v>Территория 7</v>
      </c>
      <c r="I213" s="6"/>
      <c r="J213" s="6"/>
      <c r="K213" s="6"/>
      <c r="L213" s="6"/>
      <c r="M213" s="6"/>
      <c r="N213" s="6"/>
      <c r="O213" s="6"/>
      <c r="P213" s="6"/>
      <c r="Q213" s="6"/>
      <c r="R213" s="6"/>
      <c r="AC213" s="6"/>
    </row>
    <row r="214" spans="1:34" ht="15" hidden="1" customHeight="1" x14ac:dyDescent="0.15">
      <c r="D214" s="6"/>
      <c r="E214" s="6" t="s">
        <v>1681</v>
      </c>
      <c r="F214" s="6"/>
      <c r="G214" s="6"/>
      <c r="H214" s="6" t="str">
        <f>IF(A212="","",INDEX(DIFFERENTIATION_UNMERGE_SYSTEM,MATCH(A212,DIFFERENTIATION_ID_DIFF,0)))</f>
        <v>Находкинский городской округ</v>
      </c>
      <c r="I214" s="6"/>
      <c r="J214" s="6"/>
      <c r="K214" s="6"/>
      <c r="L214" s="6"/>
      <c r="M214" s="6"/>
      <c r="N214" s="6"/>
      <c r="O214" s="6"/>
      <c r="P214" s="6"/>
      <c r="Q214" s="6"/>
      <c r="R214" s="6"/>
      <c r="AC214" s="6"/>
    </row>
    <row r="215" spans="1:34" ht="24.75" hidden="1" customHeight="1" x14ac:dyDescent="0.15">
      <c r="D215" s="6"/>
      <c r="E215" s="6" t="s">
        <v>1682</v>
      </c>
      <c r="F215" s="6"/>
      <c r="G215" s="6"/>
      <c r="H215" s="6"/>
      <c r="I215" s="6"/>
      <c r="J215" s="6"/>
      <c r="K215" s="6"/>
      <c r="L215" s="6"/>
      <c r="M215" s="6"/>
      <c r="N215" s="6"/>
      <c r="O215" s="6"/>
      <c r="P215" s="6"/>
      <c r="Q215">
        <f>SUMIF(T216:T217,"i",Q216:Q217)</f>
        <v>0</v>
      </c>
      <c r="S215" t="s">
        <v>1683</v>
      </c>
      <c r="T215" t="s">
        <v>1684</v>
      </c>
      <c r="U215" s="6">
        <v>1</v>
      </c>
      <c r="V215" s="6" t="s">
        <v>1685</v>
      </c>
      <c r="AC215" s="6"/>
    </row>
    <row r="216" spans="1:34" ht="11.25" hidden="1" customHeight="1" x14ac:dyDescent="0.15">
      <c r="D216" s="6"/>
      <c r="F216">
        <v>0</v>
      </c>
      <c r="U216" s="6"/>
      <c r="V216" s="6"/>
      <c r="AC216" s="6"/>
    </row>
    <row r="217" spans="1:34" ht="11.25" hidden="1" customHeight="1" x14ac:dyDescent="0.15">
      <c r="D217" s="6"/>
      <c r="E217" t="s">
        <v>4</v>
      </c>
      <c r="F217" t="s">
        <v>4</v>
      </c>
      <c r="G217" t="s">
        <v>1686</v>
      </c>
      <c r="H217" t="s">
        <v>4</v>
      </c>
      <c r="U217" s="6"/>
      <c r="V217" s="6"/>
      <c r="AC217" s="6"/>
    </row>
    <row r="218" spans="1:34" ht="5.25" hidden="1" customHeight="1" x14ac:dyDescent="0.15">
      <c r="D218" s="6"/>
      <c r="T218" t="s">
        <v>1684</v>
      </c>
      <c r="U218" s="6">
        <v>1</v>
      </c>
      <c r="V218" s="6" t="s">
        <v>1685</v>
      </c>
    </row>
    <row r="219" spans="1:34" ht="5.25" hidden="1" customHeight="1" x14ac:dyDescent="0.15">
      <c r="D219" s="6"/>
      <c r="U219" s="6"/>
      <c r="V219" s="6"/>
    </row>
    <row r="220" spans="1:34" ht="5.25" hidden="1" customHeight="1" x14ac:dyDescent="0.15">
      <c r="D220" s="6"/>
      <c r="U220" s="6"/>
      <c r="V220" s="6"/>
    </row>
    <row r="221" spans="1:34" ht="15" hidden="1" customHeight="1" x14ac:dyDescent="0.15">
      <c r="A221" t="s">
        <v>418</v>
      </c>
      <c r="C221" t="s">
        <v>4</v>
      </c>
      <c r="D221" s="6" t="s">
        <v>3219</v>
      </c>
      <c r="E221" s="6" t="s">
        <v>355</v>
      </c>
      <c r="F221" s="6"/>
      <c r="G221" s="6"/>
      <c r="H221" s="6" t="str">
        <f>IF(A221="","",INDEX(DIFFERENTIATION_UNMERGE_VD,MATCH(A221,DIFFERENTIATION_ID_DIFF,0)))</f>
        <v>Подключение (технологическое присоединение) к системе теплоснабжения</v>
      </c>
      <c r="I221" s="6"/>
      <c r="J221" s="6"/>
      <c r="K221" s="6"/>
      <c r="L221" s="6"/>
      <c r="M221" s="6"/>
      <c r="N221" s="6"/>
      <c r="O221" s="6"/>
      <c r="P221" s="6"/>
      <c r="Q221" s="6"/>
      <c r="R221" s="6"/>
      <c r="AC221" s="6"/>
      <c r="AE221" t="s">
        <v>4</v>
      </c>
      <c r="AG221" t="s">
        <v>1679</v>
      </c>
      <c r="AH221">
        <v>3</v>
      </c>
    </row>
    <row r="222" spans="1:34" ht="15" hidden="1" customHeight="1" x14ac:dyDescent="0.15">
      <c r="D222" s="6"/>
      <c r="E222" s="6" t="s">
        <v>1680</v>
      </c>
      <c r="F222" s="6"/>
      <c r="G222" s="6"/>
      <c r="H222" s="6" t="str">
        <f>IF(A221="","",INDEX(DIFFERENTIATION_UNMERGE_AREA,MATCH(A221,DIFFERENTIATION_ID_DIFF,0)))</f>
        <v>Территория 15</v>
      </c>
      <c r="I222" s="6"/>
      <c r="J222" s="6"/>
      <c r="K222" s="6"/>
      <c r="L222" s="6"/>
      <c r="M222" s="6"/>
      <c r="N222" s="6"/>
      <c r="O222" s="6"/>
      <c r="P222" s="6"/>
      <c r="Q222" s="6"/>
      <c r="R222" s="6"/>
      <c r="AC222" s="6"/>
    </row>
    <row r="223" spans="1:34" ht="15" hidden="1" customHeight="1" x14ac:dyDescent="0.15">
      <c r="D223" s="6"/>
      <c r="E223" s="6" t="s">
        <v>1681</v>
      </c>
      <c r="F223" s="6"/>
      <c r="G223" s="6"/>
      <c r="H223" s="6" t="str">
        <f>IF(A221="","",INDEX(DIFFERENTIATION_UNMERGE_SYSTEM,MATCH(A221,DIFFERENTIATION_ID_DIFF,0)))</f>
        <v>Лазовский МО</v>
      </c>
      <c r="I223" s="6"/>
      <c r="J223" s="6"/>
      <c r="K223" s="6"/>
      <c r="L223" s="6"/>
      <c r="M223" s="6"/>
      <c r="N223" s="6"/>
      <c r="O223" s="6"/>
      <c r="P223" s="6"/>
      <c r="Q223" s="6"/>
      <c r="R223" s="6"/>
      <c r="AC223" s="6"/>
    </row>
    <row r="224" spans="1:34" ht="24.75" hidden="1" customHeight="1" x14ac:dyDescent="0.15">
      <c r="D224" s="6"/>
      <c r="E224" s="6" t="s">
        <v>1682</v>
      </c>
      <c r="F224" s="6"/>
      <c r="G224" s="6"/>
      <c r="H224" s="6"/>
      <c r="I224" s="6"/>
      <c r="J224" s="6"/>
      <c r="K224" s="6"/>
      <c r="L224" s="6"/>
      <c r="M224" s="6"/>
      <c r="N224" s="6"/>
      <c r="O224" s="6"/>
      <c r="P224" s="6"/>
      <c r="Q224">
        <f>SUMIF(T225:T226,"i",Q225:Q226)</f>
        <v>0</v>
      </c>
      <c r="S224" t="s">
        <v>1683</v>
      </c>
      <c r="T224" t="s">
        <v>1684</v>
      </c>
      <c r="U224" s="6">
        <v>1</v>
      </c>
      <c r="V224" s="6" t="s">
        <v>1685</v>
      </c>
      <c r="AC224" s="6"/>
    </row>
    <row r="225" spans="1:34" ht="11.25" hidden="1" customHeight="1" x14ac:dyDescent="0.15">
      <c r="D225" s="6"/>
      <c r="F225">
        <v>0</v>
      </c>
      <c r="U225" s="6"/>
      <c r="V225" s="6"/>
      <c r="AC225" s="6"/>
    </row>
    <row r="226" spans="1:34" ht="11.25" hidden="1" customHeight="1" x14ac:dyDescent="0.15">
      <c r="D226" s="6"/>
      <c r="E226" t="s">
        <v>4</v>
      </c>
      <c r="F226" t="s">
        <v>4</v>
      </c>
      <c r="G226" t="s">
        <v>1686</v>
      </c>
      <c r="H226" t="s">
        <v>4</v>
      </c>
      <c r="U226" s="6"/>
      <c r="V226" s="6"/>
      <c r="AC226" s="6"/>
    </row>
    <row r="227" spans="1:34" ht="5.25" hidden="1" customHeight="1" x14ac:dyDescent="0.15">
      <c r="D227" s="6"/>
      <c r="T227" t="s">
        <v>1684</v>
      </c>
      <c r="U227" s="6">
        <v>1</v>
      </c>
      <c r="V227" s="6" t="s">
        <v>1685</v>
      </c>
    </row>
    <row r="228" spans="1:34" ht="5.25" hidden="1" customHeight="1" x14ac:dyDescent="0.15">
      <c r="D228" s="6"/>
      <c r="U228" s="6"/>
      <c r="V228" s="6"/>
    </row>
    <row r="229" spans="1:34" ht="5.25" hidden="1" customHeight="1" x14ac:dyDescent="0.15">
      <c r="D229" s="6"/>
      <c r="U229" s="6"/>
      <c r="V229" s="6"/>
    </row>
    <row r="230" spans="1:34" ht="15" hidden="1" customHeight="1" x14ac:dyDescent="0.15">
      <c r="A230" t="s">
        <v>419</v>
      </c>
      <c r="C230" t="s">
        <v>4</v>
      </c>
      <c r="D230" s="6" t="s">
        <v>3220</v>
      </c>
      <c r="E230" s="6" t="s">
        <v>355</v>
      </c>
      <c r="F230" s="6"/>
      <c r="G230" s="6"/>
      <c r="H230" s="6" t="str">
        <f>IF(A230="","",INDEX(DIFFERENTIATION_UNMERGE_VD,MATCH(A230,DIFFERENTIATION_ID_DIFF,0)))</f>
        <v>Подключение (технологическое присоединение) к системе теплоснабжения</v>
      </c>
      <c r="I230" s="6"/>
      <c r="J230" s="6"/>
      <c r="K230" s="6"/>
      <c r="L230" s="6"/>
      <c r="M230" s="6"/>
      <c r="N230" s="6"/>
      <c r="O230" s="6"/>
      <c r="P230" s="6"/>
      <c r="Q230" s="6"/>
      <c r="R230" s="6"/>
      <c r="AC230" s="6"/>
      <c r="AE230" t="s">
        <v>4</v>
      </c>
      <c r="AG230" t="s">
        <v>1679</v>
      </c>
      <c r="AH230">
        <v>3</v>
      </c>
    </row>
    <row r="231" spans="1:34" ht="15" hidden="1" customHeight="1" x14ac:dyDescent="0.15">
      <c r="D231" s="6"/>
      <c r="E231" s="6" t="s">
        <v>1680</v>
      </c>
      <c r="F231" s="6"/>
      <c r="G231" s="6"/>
      <c r="H231" s="6" t="str">
        <f>IF(A230="","",INDEX(DIFFERENTIATION_UNMERGE_AREA,MATCH(A230,DIFFERENTIATION_ID_DIFF,0)))</f>
        <v>Территория 32</v>
      </c>
      <c r="I231" s="6"/>
      <c r="J231" s="6"/>
      <c r="K231" s="6"/>
      <c r="L231" s="6"/>
      <c r="M231" s="6"/>
      <c r="N231" s="6"/>
      <c r="O231" s="6"/>
      <c r="P231" s="6"/>
      <c r="Q231" s="6"/>
      <c r="R231" s="6"/>
      <c r="AC231" s="6"/>
    </row>
    <row r="232" spans="1:34" ht="15" hidden="1" customHeight="1" x14ac:dyDescent="0.15">
      <c r="D232" s="6"/>
      <c r="E232" s="6" t="s">
        <v>1681</v>
      </c>
      <c r="F232" s="6"/>
      <c r="G232" s="6"/>
      <c r="H232" s="6" t="str">
        <f>IF(A230="","",INDEX(DIFFERENTIATION_UNMERGE_SYSTEM,MATCH(A230,DIFFERENTIATION_ID_DIFF,0)))</f>
        <v>Арсеньевский городской округ</v>
      </c>
      <c r="I232" s="6"/>
      <c r="J232" s="6"/>
      <c r="K232" s="6"/>
      <c r="L232" s="6"/>
      <c r="M232" s="6"/>
      <c r="N232" s="6"/>
      <c r="O232" s="6"/>
      <c r="P232" s="6"/>
      <c r="Q232" s="6"/>
      <c r="R232" s="6"/>
      <c r="AC232" s="6"/>
    </row>
    <row r="233" spans="1:34" ht="24.75" hidden="1" customHeight="1" x14ac:dyDescent="0.15">
      <c r="D233" s="6"/>
      <c r="E233" s="6" t="s">
        <v>1682</v>
      </c>
      <c r="F233" s="6"/>
      <c r="G233" s="6"/>
      <c r="H233" s="6"/>
      <c r="I233" s="6"/>
      <c r="J233" s="6"/>
      <c r="K233" s="6"/>
      <c r="L233" s="6"/>
      <c r="M233" s="6"/>
      <c r="N233" s="6"/>
      <c r="O233" s="6"/>
      <c r="P233" s="6"/>
      <c r="Q233">
        <f>SUMIF(T234:T235,"i",Q234:Q235)</f>
        <v>0</v>
      </c>
      <c r="S233" t="s">
        <v>1683</v>
      </c>
      <c r="T233" t="s">
        <v>1684</v>
      </c>
      <c r="U233" s="6">
        <v>1</v>
      </c>
      <c r="V233" s="6" t="s">
        <v>1685</v>
      </c>
      <c r="AC233" s="6"/>
    </row>
    <row r="234" spans="1:34" ht="11.25" hidden="1" customHeight="1" x14ac:dyDescent="0.15">
      <c r="D234" s="6"/>
      <c r="F234">
        <v>0</v>
      </c>
      <c r="U234" s="6"/>
      <c r="V234" s="6"/>
      <c r="AC234" s="6"/>
    </row>
    <row r="235" spans="1:34" ht="11.25" hidden="1" customHeight="1" x14ac:dyDescent="0.15">
      <c r="D235" s="6"/>
      <c r="E235" t="s">
        <v>4</v>
      </c>
      <c r="F235" t="s">
        <v>4</v>
      </c>
      <c r="G235" t="s">
        <v>1686</v>
      </c>
      <c r="H235" t="s">
        <v>4</v>
      </c>
      <c r="U235" s="6"/>
      <c r="V235" s="6"/>
      <c r="AC235" s="6"/>
    </row>
    <row r="236" spans="1:34" ht="5.25" hidden="1" customHeight="1" x14ac:dyDescent="0.15">
      <c r="D236" s="6"/>
      <c r="T236" t="s">
        <v>1684</v>
      </c>
      <c r="U236" s="6">
        <v>1</v>
      </c>
      <c r="V236" s="6" t="s">
        <v>1685</v>
      </c>
    </row>
    <row r="237" spans="1:34" ht="5.25" hidden="1" customHeight="1" x14ac:dyDescent="0.15">
      <c r="D237" s="6"/>
      <c r="U237" s="6"/>
      <c r="V237" s="6"/>
    </row>
    <row r="238" spans="1:34" ht="5.25" hidden="1" customHeight="1" x14ac:dyDescent="0.15">
      <c r="D238" s="6"/>
      <c r="U238" s="6"/>
      <c r="V238" s="6"/>
    </row>
    <row r="239" spans="1:34" ht="15" hidden="1" customHeight="1" x14ac:dyDescent="0.15">
      <c r="A239" t="s">
        <v>392</v>
      </c>
      <c r="C239" t="s">
        <v>4</v>
      </c>
      <c r="D239" s="6" t="s">
        <v>3221</v>
      </c>
      <c r="E239" s="6" t="s">
        <v>355</v>
      </c>
      <c r="F239" s="6"/>
      <c r="G239" s="6"/>
      <c r="H239" s="6" t="str">
        <f>IF(A239="","",INDEX(DIFFERENTIATION_UNMERGE_VD,MATCH(A239,DIFFERENTIATION_ID_DIFF,0)))</f>
        <v>Производство тепловой энергии. Некомбинированная выработка</v>
      </c>
      <c r="I239" s="6"/>
      <c r="J239" s="6"/>
      <c r="K239" s="6"/>
      <c r="L239" s="6"/>
      <c r="M239" s="6"/>
      <c r="N239" s="6"/>
      <c r="O239" s="6"/>
      <c r="P239" s="6"/>
      <c r="Q239" s="6"/>
      <c r="R239" s="6"/>
      <c r="AC239" s="6"/>
      <c r="AE239" t="s">
        <v>4</v>
      </c>
      <c r="AG239" t="s">
        <v>1679</v>
      </c>
      <c r="AH239">
        <v>3</v>
      </c>
    </row>
    <row r="240" spans="1:34" ht="15" hidden="1" customHeight="1" x14ac:dyDescent="0.15">
      <c r="D240" s="6"/>
      <c r="E240" s="6" t="s">
        <v>1680</v>
      </c>
      <c r="F240" s="6"/>
      <c r="G240" s="6"/>
      <c r="H240" s="6" t="str">
        <f>IF(A239="","",INDEX(DIFFERENTIATION_UNMERGE_AREA,MATCH(A239,DIFFERENTIATION_ID_DIFF,0)))</f>
        <v>без дифференциации</v>
      </c>
      <c r="I240" s="6"/>
      <c r="J240" s="6"/>
      <c r="K240" s="6"/>
      <c r="L240" s="6"/>
      <c r="M240" s="6"/>
      <c r="N240" s="6"/>
      <c r="O240" s="6"/>
      <c r="P240" s="6"/>
      <c r="Q240" s="6"/>
      <c r="R240" s="6"/>
      <c r="AC240" s="6"/>
    </row>
    <row r="241" spans="1:34" ht="15" hidden="1" customHeight="1" x14ac:dyDescent="0.15">
      <c r="D241" s="6"/>
      <c r="E241" s="6" t="s">
        <v>1681</v>
      </c>
      <c r="F241" s="6"/>
      <c r="G241" s="6"/>
      <c r="H241" s="6" t="str">
        <f>IF(A239="","",INDEX(DIFFERENTIATION_UNMERGE_SYSTEM,MATCH(A239,DIFFERENTIATION_ID_DIFF,0)))</f>
        <v xml:space="preserve">ГВС-открытая система на территории Шкотовский муниципальный район, Штыковское сельское поселение (05657432); </v>
      </c>
      <c r="I241" s="6"/>
      <c r="J241" s="6"/>
      <c r="K241" s="6"/>
      <c r="L241" s="6"/>
      <c r="M241" s="6"/>
      <c r="N241" s="6"/>
      <c r="O241" s="6"/>
      <c r="P241" s="6"/>
      <c r="Q241" s="6"/>
      <c r="R241" s="6"/>
      <c r="AC241" s="6"/>
    </row>
    <row r="242" spans="1:34" ht="24.75" hidden="1" customHeight="1" x14ac:dyDescent="0.15">
      <c r="D242" s="6"/>
      <c r="E242" s="6" t="s">
        <v>1682</v>
      </c>
      <c r="F242" s="6"/>
      <c r="G242" s="6"/>
      <c r="H242" s="6"/>
      <c r="I242" s="6"/>
      <c r="J242" s="6"/>
      <c r="K242" s="6"/>
      <c r="L242" s="6"/>
      <c r="M242" s="6"/>
      <c r="N242" s="6"/>
      <c r="O242" s="6"/>
      <c r="P242" s="6"/>
      <c r="Q242">
        <f>SUMIF(T243:T244,"i",Q243:Q244)</f>
        <v>0</v>
      </c>
      <c r="S242" t="s">
        <v>1683</v>
      </c>
      <c r="T242" t="s">
        <v>1684</v>
      </c>
      <c r="U242" s="6">
        <v>1</v>
      </c>
      <c r="V242" s="6" t="s">
        <v>1685</v>
      </c>
      <c r="AC242" s="6"/>
    </row>
    <row r="243" spans="1:34" ht="11.25" hidden="1" customHeight="1" x14ac:dyDescent="0.15">
      <c r="D243" s="6"/>
      <c r="F243">
        <v>0</v>
      </c>
      <c r="U243" s="6"/>
      <c r="V243" s="6"/>
      <c r="AC243" s="6"/>
    </row>
    <row r="244" spans="1:34" ht="11.25" hidden="1" customHeight="1" x14ac:dyDescent="0.15">
      <c r="D244" s="6"/>
      <c r="E244" t="s">
        <v>4</v>
      </c>
      <c r="F244" t="s">
        <v>4</v>
      </c>
      <c r="G244" t="s">
        <v>1686</v>
      </c>
      <c r="H244" t="s">
        <v>4</v>
      </c>
      <c r="U244" s="6"/>
      <c r="V244" s="6"/>
      <c r="AC244" s="6"/>
    </row>
    <row r="245" spans="1:34" ht="5.25" hidden="1" customHeight="1" x14ac:dyDescent="0.15">
      <c r="D245" s="6"/>
      <c r="T245" t="s">
        <v>1684</v>
      </c>
      <c r="U245" s="6">
        <v>1</v>
      </c>
      <c r="V245" s="6" t="s">
        <v>1685</v>
      </c>
    </row>
    <row r="246" spans="1:34" ht="5.25" hidden="1" customHeight="1" x14ac:dyDescent="0.15">
      <c r="D246" s="6"/>
      <c r="U246" s="6"/>
      <c r="V246" s="6"/>
    </row>
    <row r="247" spans="1:34" ht="5.25" hidden="1" customHeight="1" x14ac:dyDescent="0.15">
      <c r="D247" s="6"/>
      <c r="U247" s="6"/>
      <c r="V247" s="6"/>
    </row>
    <row r="248" spans="1:34" ht="15" hidden="1" customHeight="1" x14ac:dyDescent="0.15">
      <c r="A248" t="s">
        <v>394</v>
      </c>
      <c r="C248" t="s">
        <v>4</v>
      </c>
      <c r="D248" s="6" t="s">
        <v>3222</v>
      </c>
      <c r="E248" s="6" t="s">
        <v>355</v>
      </c>
      <c r="F248" s="6"/>
      <c r="G248" s="6"/>
      <c r="H248" s="6" t="str">
        <f>IF(A248="","",INDEX(DIFFERENTIATION_UNMERGE_VD,MATCH(A248,DIFFERENTIATION_ID_DIFF,0)))</f>
        <v>Производство тепловой энергии. Некомбинированная выработка</v>
      </c>
      <c r="I248" s="6"/>
      <c r="J248" s="6"/>
      <c r="K248" s="6"/>
      <c r="L248" s="6"/>
      <c r="M248" s="6"/>
      <c r="N248" s="6"/>
      <c r="O248" s="6"/>
      <c r="P248" s="6"/>
      <c r="Q248" s="6"/>
      <c r="R248" s="6"/>
      <c r="AC248" s="6"/>
      <c r="AE248" t="s">
        <v>4</v>
      </c>
      <c r="AG248" t="s">
        <v>1679</v>
      </c>
      <c r="AH248">
        <v>3</v>
      </c>
    </row>
    <row r="249" spans="1:34" ht="15" hidden="1" customHeight="1" x14ac:dyDescent="0.15">
      <c r="D249" s="6"/>
      <c r="E249" s="6" t="s">
        <v>1680</v>
      </c>
      <c r="F249" s="6"/>
      <c r="G249" s="6"/>
      <c r="H249" s="6" t="str">
        <f>IF(A248="","",INDEX(DIFFERENTIATION_UNMERGE_AREA,MATCH(A248,DIFFERENTIATION_ID_DIFF,0)))</f>
        <v>без дифференциации</v>
      </c>
      <c r="I249" s="6"/>
      <c r="J249" s="6"/>
      <c r="K249" s="6"/>
      <c r="L249" s="6"/>
      <c r="M249" s="6"/>
      <c r="N249" s="6"/>
      <c r="O249" s="6"/>
      <c r="P249" s="6"/>
      <c r="Q249" s="6"/>
      <c r="R249" s="6"/>
      <c r="AC249" s="6"/>
    </row>
    <row r="250" spans="1:34" ht="15" hidden="1" customHeight="1" x14ac:dyDescent="0.15">
      <c r="D250" s="6"/>
      <c r="E250" s="6" t="s">
        <v>1681</v>
      </c>
      <c r="F250" s="6"/>
      <c r="G250" s="6"/>
      <c r="H250" s="6" t="str">
        <f>IF(A248="","",INDEX(DIFFERENTIATION_UNMERGE_SYSTEM,MATCH(A248,DIFFERENTIATION_ID_DIFF,0)))</f>
        <v>ГВС-открытая система на территории Владивостокского городского округа (05701000).</v>
      </c>
      <c r="I250" s="6"/>
      <c r="J250" s="6"/>
      <c r="K250" s="6"/>
      <c r="L250" s="6"/>
      <c r="M250" s="6"/>
      <c r="N250" s="6"/>
      <c r="O250" s="6"/>
      <c r="P250" s="6"/>
      <c r="Q250" s="6"/>
      <c r="R250" s="6"/>
      <c r="AC250" s="6"/>
    </row>
    <row r="251" spans="1:34" ht="24.75" hidden="1" customHeight="1" x14ac:dyDescent="0.15">
      <c r="D251" s="6"/>
      <c r="E251" s="6" t="s">
        <v>1682</v>
      </c>
      <c r="F251" s="6"/>
      <c r="G251" s="6"/>
      <c r="H251" s="6"/>
      <c r="I251" s="6"/>
      <c r="J251" s="6"/>
      <c r="K251" s="6"/>
      <c r="L251" s="6"/>
      <c r="M251" s="6"/>
      <c r="N251" s="6"/>
      <c r="O251" s="6"/>
      <c r="P251" s="6"/>
      <c r="Q251">
        <f>SUMIF(T252:T253,"i",Q252:Q253)</f>
        <v>0</v>
      </c>
      <c r="S251" t="s">
        <v>1683</v>
      </c>
      <c r="T251" t="s">
        <v>1684</v>
      </c>
      <c r="U251" s="6">
        <v>1</v>
      </c>
      <c r="V251" s="6" t="s">
        <v>1685</v>
      </c>
      <c r="AC251" s="6"/>
    </row>
    <row r="252" spans="1:34" ht="11.25" hidden="1" customHeight="1" x14ac:dyDescent="0.15">
      <c r="D252" s="6"/>
      <c r="F252">
        <v>0</v>
      </c>
      <c r="U252" s="6"/>
      <c r="V252" s="6"/>
      <c r="AC252" s="6"/>
    </row>
    <row r="253" spans="1:34" ht="11.25" hidden="1" customHeight="1" x14ac:dyDescent="0.15">
      <c r="D253" s="6"/>
      <c r="E253" t="s">
        <v>4</v>
      </c>
      <c r="F253" t="s">
        <v>4</v>
      </c>
      <c r="G253" t="s">
        <v>1686</v>
      </c>
      <c r="H253" t="s">
        <v>4</v>
      </c>
      <c r="U253" s="6"/>
      <c r="V253" s="6"/>
      <c r="AC253" s="6"/>
    </row>
    <row r="254" spans="1:34" ht="5.25" hidden="1" customHeight="1" x14ac:dyDescent="0.15">
      <c r="D254" s="6"/>
      <c r="T254" t="s">
        <v>1684</v>
      </c>
      <c r="U254" s="6">
        <v>1</v>
      </c>
      <c r="V254" s="6" t="s">
        <v>1685</v>
      </c>
    </row>
    <row r="255" spans="1:34" ht="5.25" hidden="1" customHeight="1" x14ac:dyDescent="0.15">
      <c r="D255" s="6"/>
      <c r="U255" s="6"/>
      <c r="V255" s="6"/>
    </row>
    <row r="256" spans="1:34" ht="5.25" hidden="1" customHeight="1" x14ac:dyDescent="0.15">
      <c r="D256" s="6"/>
      <c r="U256" s="6"/>
      <c r="V256" s="6"/>
    </row>
    <row r="257" spans="1:34" ht="15" hidden="1" customHeight="1" x14ac:dyDescent="0.15">
      <c r="A257" t="s">
        <v>396</v>
      </c>
      <c r="C257" t="s">
        <v>4</v>
      </c>
      <c r="D257" s="6" t="s">
        <v>3223</v>
      </c>
      <c r="E257" s="6" t="s">
        <v>355</v>
      </c>
      <c r="F257" s="6"/>
      <c r="G257" s="6"/>
      <c r="H257" s="6" t="str">
        <f>IF(A257="","",INDEX(DIFFERENTIATION_UNMERGE_VD,MATCH(A257,DIFFERENTIATION_ID_DIFF,0)))</f>
        <v>Производство тепловой энергии. Некомбинированная выработка</v>
      </c>
      <c r="I257" s="6"/>
      <c r="J257" s="6"/>
      <c r="K257" s="6"/>
      <c r="L257" s="6"/>
      <c r="M257" s="6"/>
      <c r="N257" s="6"/>
      <c r="O257" s="6"/>
      <c r="P257" s="6"/>
      <c r="Q257" s="6"/>
      <c r="R257" s="6"/>
      <c r="AC257" s="6"/>
      <c r="AE257" t="s">
        <v>4</v>
      </c>
      <c r="AG257" t="s">
        <v>1679</v>
      </c>
      <c r="AH257">
        <v>3</v>
      </c>
    </row>
    <row r="258" spans="1:34" ht="15" hidden="1" customHeight="1" x14ac:dyDescent="0.15">
      <c r="D258" s="6"/>
      <c r="E258" s="6" t="s">
        <v>1680</v>
      </c>
      <c r="F258" s="6"/>
      <c r="G258" s="6"/>
      <c r="H258" s="6" t="str">
        <f>IF(A257="","",INDEX(DIFFERENTIATION_UNMERGE_AREA,MATCH(A257,DIFFERENTIATION_ID_DIFF,0)))</f>
        <v>без дифференциации</v>
      </c>
      <c r="I258" s="6"/>
      <c r="J258" s="6"/>
      <c r="K258" s="6"/>
      <c r="L258" s="6"/>
      <c r="M258" s="6"/>
      <c r="N258" s="6"/>
      <c r="O258" s="6"/>
      <c r="P258" s="6"/>
      <c r="Q258" s="6"/>
      <c r="R258" s="6"/>
      <c r="AC258" s="6"/>
    </row>
    <row r="259" spans="1:34" ht="15" hidden="1" customHeight="1" x14ac:dyDescent="0.15">
      <c r="D259" s="6"/>
      <c r="E259" s="6" t="s">
        <v>1681</v>
      </c>
      <c r="F259" s="6"/>
      <c r="G259" s="6"/>
      <c r="H259" s="6" t="str">
        <f>IF(A257="","",INDEX(DIFFERENTIATION_UNMERGE_SYSTEM,MATCH(A257,DIFFERENTIATION_ID_DIFF,0)))</f>
        <v xml:space="preserve">ГВС-открытая система на территории Арсеньевский городской округ, (05703000);
</v>
      </c>
      <c r="I259" s="6"/>
      <c r="J259" s="6"/>
      <c r="K259" s="6"/>
      <c r="L259" s="6"/>
      <c r="M259" s="6"/>
      <c r="N259" s="6"/>
      <c r="O259" s="6"/>
      <c r="P259" s="6"/>
      <c r="Q259" s="6"/>
      <c r="R259" s="6"/>
      <c r="AC259" s="6"/>
    </row>
    <row r="260" spans="1:34" ht="24.75" hidden="1" customHeight="1" x14ac:dyDescent="0.15">
      <c r="D260" s="6"/>
      <c r="E260" s="6" t="s">
        <v>1682</v>
      </c>
      <c r="F260" s="6"/>
      <c r="G260" s="6"/>
      <c r="H260" s="6"/>
      <c r="I260" s="6"/>
      <c r="J260" s="6"/>
      <c r="K260" s="6"/>
      <c r="L260" s="6"/>
      <c r="M260" s="6"/>
      <c r="N260" s="6"/>
      <c r="O260" s="6"/>
      <c r="P260" s="6"/>
      <c r="Q260">
        <f>SUMIF(T261:T262,"i",Q261:Q262)</f>
        <v>0</v>
      </c>
      <c r="S260" t="s">
        <v>1683</v>
      </c>
      <c r="T260" t="s">
        <v>1684</v>
      </c>
      <c r="U260" s="6">
        <v>1</v>
      </c>
      <c r="V260" s="6" t="s">
        <v>1685</v>
      </c>
      <c r="AC260" s="6"/>
    </row>
    <row r="261" spans="1:34" ht="11.25" hidden="1" customHeight="1" x14ac:dyDescent="0.15">
      <c r="D261" s="6"/>
      <c r="F261">
        <v>0</v>
      </c>
      <c r="U261" s="6"/>
      <c r="V261" s="6"/>
      <c r="AC261" s="6"/>
    </row>
    <row r="262" spans="1:34" ht="11.25" hidden="1" customHeight="1" x14ac:dyDescent="0.15">
      <c r="D262" s="6"/>
      <c r="E262" t="s">
        <v>4</v>
      </c>
      <c r="F262" t="s">
        <v>4</v>
      </c>
      <c r="G262" t="s">
        <v>1686</v>
      </c>
      <c r="H262" t="s">
        <v>4</v>
      </c>
      <c r="U262" s="6"/>
      <c r="V262" s="6"/>
      <c r="AC262" s="6"/>
    </row>
    <row r="263" spans="1:34" ht="5.25" hidden="1" customHeight="1" x14ac:dyDescent="0.15">
      <c r="D263" s="6"/>
      <c r="T263" t="s">
        <v>1684</v>
      </c>
      <c r="U263" s="6">
        <v>1</v>
      </c>
      <c r="V263" s="6" t="s">
        <v>1685</v>
      </c>
    </row>
    <row r="264" spans="1:34" ht="5.25" hidden="1" customHeight="1" x14ac:dyDescent="0.15">
      <c r="D264" s="6"/>
      <c r="U264" s="6"/>
      <c r="V264" s="6"/>
    </row>
    <row r="265" spans="1:34" ht="5.25" hidden="1" customHeight="1" x14ac:dyDescent="0.15">
      <c r="D265" s="6"/>
      <c r="U265" s="6"/>
      <c r="V265" s="6"/>
    </row>
    <row r="266" spans="1:34" ht="15" hidden="1" customHeight="1" x14ac:dyDescent="0.15">
      <c r="A266" t="s">
        <v>398</v>
      </c>
      <c r="C266" t="s">
        <v>4</v>
      </c>
      <c r="D266" s="6" t="s">
        <v>3224</v>
      </c>
      <c r="E266" s="6" t="s">
        <v>355</v>
      </c>
      <c r="F266" s="6"/>
      <c r="G266" s="6"/>
      <c r="H266" s="6" t="str">
        <f>IF(A266="","",INDEX(DIFFERENTIATION_UNMERGE_VD,MATCH(A266,DIFFERENTIATION_ID_DIFF,0)))</f>
        <v>Производство тепловой энергии. Некомбинированная выработка</v>
      </c>
      <c r="I266" s="6"/>
      <c r="J266" s="6"/>
      <c r="K266" s="6"/>
      <c r="L266" s="6"/>
      <c r="M266" s="6"/>
      <c r="N266" s="6"/>
      <c r="O266" s="6"/>
      <c r="P266" s="6"/>
      <c r="Q266" s="6"/>
      <c r="R266" s="6"/>
      <c r="AC266" s="6"/>
      <c r="AE266" t="s">
        <v>4</v>
      </c>
      <c r="AG266" t="s">
        <v>1679</v>
      </c>
      <c r="AH266">
        <v>3</v>
      </c>
    </row>
    <row r="267" spans="1:34" ht="15" hidden="1" customHeight="1" x14ac:dyDescent="0.15">
      <c r="D267" s="6"/>
      <c r="E267" s="6" t="s">
        <v>1680</v>
      </c>
      <c r="F267" s="6"/>
      <c r="G267" s="6"/>
      <c r="H267" s="6" t="str">
        <f>IF(A266="","",INDEX(DIFFERENTIATION_UNMERGE_AREA,MATCH(A266,DIFFERENTIATION_ID_DIFF,0)))</f>
        <v>без дифференциации</v>
      </c>
      <c r="I267" s="6"/>
      <c r="J267" s="6"/>
      <c r="K267" s="6"/>
      <c r="L267" s="6"/>
      <c r="M267" s="6"/>
      <c r="N267" s="6"/>
      <c r="O267" s="6"/>
      <c r="P267" s="6"/>
      <c r="Q267" s="6"/>
      <c r="R267" s="6"/>
      <c r="AC267" s="6"/>
    </row>
    <row r="268" spans="1:34" ht="15" hidden="1" customHeight="1" x14ac:dyDescent="0.15">
      <c r="D268" s="6"/>
      <c r="E268" s="6" t="s">
        <v>1681</v>
      </c>
      <c r="F268" s="6"/>
      <c r="G268" s="6"/>
      <c r="H268" s="6" t="str">
        <f>IF(A266="","",INDEX(DIFFERENTIATION_UNMERGE_SYSTEM,MATCH(A266,DIFFERENTIATION_ID_DIFF,0)))</f>
        <v xml:space="preserve">ГВС-открытая система на территории городской округ Большой Камень, (05706000);
</v>
      </c>
      <c r="I268" s="6"/>
      <c r="J268" s="6"/>
      <c r="K268" s="6"/>
      <c r="L268" s="6"/>
      <c r="M268" s="6"/>
      <c r="N268" s="6"/>
      <c r="O268" s="6"/>
      <c r="P268" s="6"/>
      <c r="Q268" s="6"/>
      <c r="R268" s="6"/>
      <c r="AC268" s="6"/>
    </row>
    <row r="269" spans="1:34" ht="24.75" hidden="1" customHeight="1" x14ac:dyDescent="0.15">
      <c r="D269" s="6"/>
      <c r="E269" s="6" t="s">
        <v>1682</v>
      </c>
      <c r="F269" s="6"/>
      <c r="G269" s="6"/>
      <c r="H269" s="6"/>
      <c r="I269" s="6"/>
      <c r="J269" s="6"/>
      <c r="K269" s="6"/>
      <c r="L269" s="6"/>
      <c r="M269" s="6"/>
      <c r="N269" s="6"/>
      <c r="O269" s="6"/>
      <c r="P269" s="6"/>
      <c r="Q269">
        <f>SUMIF(T270:T271,"i",Q270:Q271)</f>
        <v>0</v>
      </c>
      <c r="S269" t="s">
        <v>1683</v>
      </c>
      <c r="T269" t="s">
        <v>1684</v>
      </c>
      <c r="U269" s="6">
        <v>1</v>
      </c>
      <c r="V269" s="6" t="s">
        <v>1685</v>
      </c>
      <c r="AC269" s="6"/>
    </row>
    <row r="270" spans="1:34" ht="11.25" hidden="1" customHeight="1" x14ac:dyDescent="0.15">
      <c r="D270" s="6"/>
      <c r="F270">
        <v>0</v>
      </c>
      <c r="U270" s="6"/>
      <c r="V270" s="6"/>
      <c r="AC270" s="6"/>
    </row>
    <row r="271" spans="1:34" ht="11.25" hidden="1" customHeight="1" x14ac:dyDescent="0.15">
      <c r="D271" s="6"/>
      <c r="E271" t="s">
        <v>4</v>
      </c>
      <c r="F271" t="s">
        <v>4</v>
      </c>
      <c r="G271" t="s">
        <v>1686</v>
      </c>
      <c r="H271" t="s">
        <v>4</v>
      </c>
      <c r="U271" s="6"/>
      <c r="V271" s="6"/>
      <c r="AC271" s="6"/>
    </row>
    <row r="272" spans="1:34" ht="5.25" hidden="1" customHeight="1" x14ac:dyDescent="0.15">
      <c r="D272" s="6"/>
      <c r="T272" t="s">
        <v>1684</v>
      </c>
      <c r="U272" s="6">
        <v>1</v>
      </c>
      <c r="V272" s="6" t="s">
        <v>1685</v>
      </c>
    </row>
    <row r="273" spans="1:34" ht="5.25" hidden="1" customHeight="1" x14ac:dyDescent="0.15">
      <c r="D273" s="6"/>
      <c r="U273" s="6"/>
      <c r="V273" s="6"/>
    </row>
    <row r="274" spans="1:34" ht="5.25" hidden="1" customHeight="1" x14ac:dyDescent="0.15">
      <c r="D274" s="6"/>
      <c r="U274" s="6"/>
      <c r="V274" s="6"/>
    </row>
    <row r="275" spans="1:34" ht="15" hidden="1" customHeight="1" x14ac:dyDescent="0.15">
      <c r="A275" t="s">
        <v>420</v>
      </c>
      <c r="C275" t="s">
        <v>4</v>
      </c>
      <c r="D275" s="6" t="s">
        <v>3225</v>
      </c>
      <c r="E275" s="6" t="s">
        <v>355</v>
      </c>
      <c r="F275" s="6"/>
      <c r="G275" s="6"/>
      <c r="H275" s="6" t="str">
        <f>IF(A275="","",INDEX(DIFFERENTIATION_UNMERGE_VD,MATCH(A275,DIFFERENTIATION_ID_DIFF,0)))</f>
        <v>Подключение (технологическое присоединение) к системе теплоснабжения</v>
      </c>
      <c r="I275" s="6"/>
      <c r="J275" s="6"/>
      <c r="K275" s="6"/>
      <c r="L275" s="6"/>
      <c r="M275" s="6"/>
      <c r="N275" s="6"/>
      <c r="O275" s="6"/>
      <c r="P275" s="6"/>
      <c r="Q275" s="6"/>
      <c r="R275" s="6"/>
      <c r="AC275" s="6"/>
      <c r="AE275" t="s">
        <v>4</v>
      </c>
      <c r="AG275" t="s">
        <v>1679</v>
      </c>
      <c r="AH275">
        <v>3</v>
      </c>
    </row>
    <row r="276" spans="1:34" ht="15" hidden="1" customHeight="1" x14ac:dyDescent="0.15">
      <c r="D276" s="6"/>
      <c r="E276" s="6" t="s">
        <v>1680</v>
      </c>
      <c r="F276" s="6"/>
      <c r="G276" s="6"/>
      <c r="H276" s="6" t="str">
        <f>IF(A275="","",INDEX(DIFFERENTIATION_UNMERGE_AREA,MATCH(A275,DIFFERENTIATION_ID_DIFF,0)))</f>
        <v>Территория 1</v>
      </c>
      <c r="I276" s="6"/>
      <c r="J276" s="6"/>
      <c r="K276" s="6"/>
      <c r="L276" s="6"/>
      <c r="M276" s="6"/>
      <c r="N276" s="6"/>
      <c r="O276" s="6"/>
      <c r="P276" s="6"/>
      <c r="Q276" s="6"/>
      <c r="R276" s="6"/>
      <c r="AC276" s="6"/>
    </row>
    <row r="277" spans="1:34" ht="15" hidden="1" customHeight="1" x14ac:dyDescent="0.15">
      <c r="D277" s="6"/>
      <c r="E277" s="6" t="s">
        <v>1681</v>
      </c>
      <c r="F277" s="6"/>
      <c r="G277" s="6"/>
      <c r="H277" s="6" t="str">
        <f>IF(A275="","",INDEX(DIFFERENTIATION_UNMERGE_SYSTEM,MATCH(A275,DIFFERENTIATION_ID_DIFF,0)))</f>
        <v>Артемовский городской округ</v>
      </c>
      <c r="I277" s="6"/>
      <c r="J277" s="6"/>
      <c r="K277" s="6"/>
      <c r="L277" s="6"/>
      <c r="M277" s="6"/>
      <c r="N277" s="6"/>
      <c r="O277" s="6"/>
      <c r="P277" s="6"/>
      <c r="Q277" s="6"/>
      <c r="R277" s="6"/>
      <c r="AC277" s="6"/>
    </row>
    <row r="278" spans="1:34" ht="24.75" hidden="1" customHeight="1" x14ac:dyDescent="0.15">
      <c r="D278" s="6"/>
      <c r="E278" s="6" t="s">
        <v>1682</v>
      </c>
      <c r="F278" s="6"/>
      <c r="G278" s="6"/>
      <c r="H278" s="6"/>
      <c r="I278" s="6"/>
      <c r="J278" s="6"/>
      <c r="K278" s="6"/>
      <c r="L278" s="6"/>
      <c r="M278" s="6"/>
      <c r="N278" s="6"/>
      <c r="O278" s="6"/>
      <c r="P278" s="6"/>
      <c r="Q278">
        <f>SUMIF(T279:T280,"i",Q279:Q280)</f>
        <v>0</v>
      </c>
      <c r="S278" t="s">
        <v>1683</v>
      </c>
      <c r="T278" t="s">
        <v>1684</v>
      </c>
      <c r="U278" s="6">
        <v>1</v>
      </c>
      <c r="V278" s="6" t="s">
        <v>1685</v>
      </c>
      <c r="AC278" s="6"/>
    </row>
    <row r="279" spans="1:34" ht="11.25" hidden="1" customHeight="1" x14ac:dyDescent="0.15">
      <c r="D279" s="6"/>
      <c r="F279">
        <v>0</v>
      </c>
      <c r="U279" s="6"/>
      <c r="V279" s="6"/>
      <c r="AC279" s="6"/>
    </row>
    <row r="280" spans="1:34" ht="11.25" hidden="1" customHeight="1" x14ac:dyDescent="0.15">
      <c r="D280" s="6"/>
      <c r="E280" t="s">
        <v>4</v>
      </c>
      <c r="F280" t="s">
        <v>4</v>
      </c>
      <c r="G280" t="s">
        <v>1686</v>
      </c>
      <c r="H280" t="s">
        <v>4</v>
      </c>
      <c r="U280" s="6"/>
      <c r="V280" s="6"/>
      <c r="AC280" s="6"/>
    </row>
    <row r="281" spans="1:34" ht="5.25" hidden="1" customHeight="1" x14ac:dyDescent="0.15">
      <c r="D281" s="6"/>
      <c r="T281" t="s">
        <v>1684</v>
      </c>
      <c r="U281" s="6">
        <v>1</v>
      </c>
      <c r="V281" s="6" t="s">
        <v>1685</v>
      </c>
    </row>
    <row r="282" spans="1:34" ht="5.25" hidden="1" customHeight="1" x14ac:dyDescent="0.15">
      <c r="D282" s="6"/>
      <c r="U282" s="6"/>
      <c r="V282" s="6"/>
    </row>
    <row r="283" spans="1:34" ht="5.25" hidden="1" customHeight="1" x14ac:dyDescent="0.15">
      <c r="D283" s="6"/>
      <c r="U283" s="6"/>
      <c r="V283" s="6"/>
    </row>
    <row r="284" spans="1:34" ht="15" hidden="1" customHeight="1" x14ac:dyDescent="0.15">
      <c r="A284" t="s">
        <v>421</v>
      </c>
      <c r="C284" t="s">
        <v>4</v>
      </c>
      <c r="D284" s="6" t="s">
        <v>3226</v>
      </c>
      <c r="E284" s="6" t="s">
        <v>355</v>
      </c>
      <c r="F284" s="6"/>
      <c r="G284" s="6"/>
      <c r="H284" s="6" t="str">
        <f>IF(A284="","",INDEX(DIFFERENTIATION_UNMERGE_VD,MATCH(A284,DIFFERENTIATION_ID_DIFF,0)))</f>
        <v>Подключение (технологическое присоединение) к системе теплоснабжения</v>
      </c>
      <c r="I284" s="6"/>
      <c r="J284" s="6"/>
      <c r="K284" s="6"/>
      <c r="L284" s="6"/>
      <c r="M284" s="6"/>
      <c r="N284" s="6"/>
      <c r="O284" s="6"/>
      <c r="P284" s="6"/>
      <c r="Q284" s="6"/>
      <c r="R284" s="6"/>
      <c r="AC284" s="6"/>
      <c r="AE284" t="s">
        <v>4</v>
      </c>
      <c r="AG284" t="s">
        <v>1679</v>
      </c>
      <c r="AH284">
        <v>3</v>
      </c>
    </row>
    <row r="285" spans="1:34" ht="15" hidden="1" customHeight="1" x14ac:dyDescent="0.15">
      <c r="D285" s="6"/>
      <c r="E285" s="6" t="s">
        <v>1680</v>
      </c>
      <c r="F285" s="6"/>
      <c r="G285" s="6"/>
      <c r="H285" s="6" t="str">
        <f>IF(A284="","",INDEX(DIFFERENTIATION_UNMERGE_AREA,MATCH(A284,DIFFERENTIATION_ID_DIFF,0)))</f>
        <v>Территория 17</v>
      </c>
      <c r="I285" s="6"/>
      <c r="J285" s="6"/>
      <c r="K285" s="6"/>
      <c r="L285" s="6"/>
      <c r="M285" s="6"/>
      <c r="N285" s="6"/>
      <c r="O285" s="6"/>
      <c r="P285" s="6"/>
      <c r="Q285" s="6"/>
      <c r="R285" s="6"/>
      <c r="AC285" s="6"/>
    </row>
    <row r="286" spans="1:34" ht="15" hidden="1" customHeight="1" x14ac:dyDescent="0.15">
      <c r="D286" s="6"/>
      <c r="E286" s="6" t="s">
        <v>1681</v>
      </c>
      <c r="F286" s="6"/>
      <c r="G286" s="6"/>
      <c r="H286" s="6" t="str">
        <f>IF(A284="","",INDEX(DIFFERENTIATION_UNMERGE_SYSTEM,MATCH(A284,DIFFERENTIATION_ID_DIFF,0)))</f>
        <v>Надеждинский муниципальный район</v>
      </c>
      <c r="I286" s="6"/>
      <c r="J286" s="6"/>
      <c r="K286" s="6"/>
      <c r="L286" s="6"/>
      <c r="M286" s="6"/>
      <c r="N286" s="6"/>
      <c r="O286" s="6"/>
      <c r="P286" s="6"/>
      <c r="Q286" s="6"/>
      <c r="R286" s="6"/>
      <c r="AC286" s="6"/>
    </row>
    <row r="287" spans="1:34" ht="24.75" hidden="1" customHeight="1" x14ac:dyDescent="0.15">
      <c r="D287" s="6"/>
      <c r="E287" s="6" t="s">
        <v>1682</v>
      </c>
      <c r="F287" s="6"/>
      <c r="G287" s="6"/>
      <c r="H287" s="6"/>
      <c r="I287" s="6"/>
      <c r="J287" s="6"/>
      <c r="K287" s="6"/>
      <c r="L287" s="6"/>
      <c r="M287" s="6"/>
      <c r="N287" s="6"/>
      <c r="O287" s="6"/>
      <c r="P287" s="6"/>
      <c r="Q287">
        <f>SUMIF(T288:T289,"i",Q288:Q289)</f>
        <v>0</v>
      </c>
      <c r="S287" t="s">
        <v>1683</v>
      </c>
      <c r="T287" t="s">
        <v>1684</v>
      </c>
      <c r="U287" s="6">
        <v>1</v>
      </c>
      <c r="V287" s="6" t="s">
        <v>1685</v>
      </c>
      <c r="AC287" s="6"/>
    </row>
    <row r="288" spans="1:34" ht="11.25" hidden="1" customHeight="1" x14ac:dyDescent="0.15">
      <c r="D288" s="6"/>
      <c r="F288">
        <v>0</v>
      </c>
      <c r="U288" s="6"/>
      <c r="V288" s="6"/>
      <c r="AC288" s="6"/>
    </row>
    <row r="289" spans="1:34" ht="11.25" hidden="1" customHeight="1" x14ac:dyDescent="0.15">
      <c r="D289" s="6"/>
      <c r="E289" t="s">
        <v>4</v>
      </c>
      <c r="F289" t="s">
        <v>4</v>
      </c>
      <c r="G289" t="s">
        <v>1686</v>
      </c>
      <c r="H289" t="s">
        <v>4</v>
      </c>
      <c r="U289" s="6"/>
      <c r="V289" s="6"/>
      <c r="AC289" s="6"/>
    </row>
    <row r="290" spans="1:34" ht="5.25" hidden="1" customHeight="1" x14ac:dyDescent="0.15">
      <c r="D290" s="6"/>
      <c r="T290" t="s">
        <v>1684</v>
      </c>
      <c r="U290" s="6">
        <v>1</v>
      </c>
      <c r="V290" s="6" t="s">
        <v>1685</v>
      </c>
    </row>
    <row r="291" spans="1:34" ht="5.25" hidden="1" customHeight="1" x14ac:dyDescent="0.15">
      <c r="D291" s="6"/>
      <c r="U291" s="6"/>
      <c r="V291" s="6"/>
    </row>
    <row r="292" spans="1:34" ht="5.25" hidden="1" customHeight="1" x14ac:dyDescent="0.15">
      <c r="D292" s="6"/>
      <c r="U292" s="6"/>
      <c r="V292" s="6"/>
    </row>
    <row r="293" spans="1:34" ht="15" hidden="1" customHeight="1" x14ac:dyDescent="0.15">
      <c r="A293" t="s">
        <v>423</v>
      </c>
      <c r="C293" t="s">
        <v>4</v>
      </c>
      <c r="D293" s="6" t="s">
        <v>3227</v>
      </c>
      <c r="E293" s="6" t="s">
        <v>355</v>
      </c>
      <c r="F293" s="6"/>
      <c r="G293" s="6"/>
      <c r="H293" s="6" t="str">
        <f>IF(A293="","",INDEX(DIFFERENTIATION_UNMERGE_VD,MATCH(A293,DIFFERENTIATION_ID_DIFF,0)))</f>
        <v>Подключение (технологическое присоединение) к системе теплоснабжения</v>
      </c>
      <c r="I293" s="6"/>
      <c r="J293" s="6"/>
      <c r="K293" s="6"/>
      <c r="L293" s="6"/>
      <c r="M293" s="6"/>
      <c r="N293" s="6"/>
      <c r="O293" s="6"/>
      <c r="P293" s="6"/>
      <c r="Q293" s="6"/>
      <c r="R293" s="6"/>
      <c r="AC293" s="6"/>
      <c r="AE293" t="s">
        <v>4</v>
      </c>
      <c r="AG293" t="s">
        <v>1679</v>
      </c>
      <c r="AH293">
        <v>3</v>
      </c>
    </row>
    <row r="294" spans="1:34" ht="15" hidden="1" customHeight="1" x14ac:dyDescent="0.15">
      <c r="D294" s="6"/>
      <c r="E294" s="6" t="s">
        <v>1680</v>
      </c>
      <c r="F294" s="6"/>
      <c r="G294" s="6"/>
      <c r="H294" s="6" t="str">
        <f>IF(A293="","",INDEX(DIFFERENTIATION_UNMERGE_AREA,MATCH(A293,DIFFERENTIATION_ID_DIFF,0)))</f>
        <v>Территория 23</v>
      </c>
      <c r="I294" s="6"/>
      <c r="J294" s="6"/>
      <c r="K294" s="6"/>
      <c r="L294" s="6"/>
      <c r="M294" s="6"/>
      <c r="N294" s="6"/>
      <c r="O294" s="6"/>
      <c r="P294" s="6"/>
      <c r="Q294" s="6"/>
      <c r="R294" s="6"/>
      <c r="AC294" s="6"/>
    </row>
    <row r="295" spans="1:34" ht="15" hidden="1" customHeight="1" x14ac:dyDescent="0.15">
      <c r="D295" s="6"/>
      <c r="E295" s="6" t="s">
        <v>1681</v>
      </c>
      <c r="F295" s="6"/>
      <c r="G295" s="6"/>
      <c r="H295" s="6" t="str">
        <f>IF(A293="","",INDEX(DIFFERENTIATION_UNMERGE_SYSTEM,MATCH(A293,DIFFERENTIATION_ID_DIFF,0)))</f>
        <v>Приморское городское поселение</v>
      </c>
      <c r="I295" s="6"/>
      <c r="J295" s="6"/>
      <c r="K295" s="6"/>
      <c r="L295" s="6"/>
      <c r="M295" s="6"/>
      <c r="N295" s="6"/>
      <c r="O295" s="6"/>
      <c r="P295" s="6"/>
      <c r="Q295" s="6"/>
      <c r="R295" s="6"/>
      <c r="AC295" s="6"/>
    </row>
    <row r="296" spans="1:34" ht="24.75" hidden="1" customHeight="1" x14ac:dyDescent="0.15">
      <c r="D296" s="6"/>
      <c r="E296" s="6" t="s">
        <v>1682</v>
      </c>
      <c r="F296" s="6"/>
      <c r="G296" s="6"/>
      <c r="H296" s="6"/>
      <c r="I296" s="6"/>
      <c r="J296" s="6"/>
      <c r="K296" s="6"/>
      <c r="L296" s="6"/>
      <c r="M296" s="6"/>
      <c r="N296" s="6"/>
      <c r="O296" s="6"/>
      <c r="P296" s="6"/>
      <c r="Q296">
        <f>SUMIF(T297:T298,"i",Q297:Q298)</f>
        <v>0</v>
      </c>
      <c r="S296" t="s">
        <v>1683</v>
      </c>
      <c r="T296" t="s">
        <v>1684</v>
      </c>
      <c r="U296" s="6">
        <v>1</v>
      </c>
      <c r="V296" s="6" t="s">
        <v>1685</v>
      </c>
      <c r="AC296" s="6"/>
    </row>
    <row r="297" spans="1:34" ht="11.25" hidden="1" customHeight="1" x14ac:dyDescent="0.15">
      <c r="D297" s="6"/>
      <c r="F297">
        <v>0</v>
      </c>
      <c r="U297" s="6"/>
      <c r="V297" s="6"/>
      <c r="AC297" s="6"/>
    </row>
    <row r="298" spans="1:34" ht="11.25" hidden="1" customHeight="1" x14ac:dyDescent="0.15">
      <c r="D298" s="6"/>
      <c r="E298" t="s">
        <v>4</v>
      </c>
      <c r="F298" t="s">
        <v>4</v>
      </c>
      <c r="G298" t="s">
        <v>1686</v>
      </c>
      <c r="H298" t="s">
        <v>4</v>
      </c>
      <c r="U298" s="6"/>
      <c r="V298" s="6"/>
      <c r="AC298" s="6"/>
    </row>
    <row r="299" spans="1:34" ht="5.25" hidden="1" customHeight="1" x14ac:dyDescent="0.15">
      <c r="D299" s="6"/>
      <c r="T299" t="s">
        <v>1684</v>
      </c>
      <c r="U299" s="6">
        <v>1</v>
      </c>
      <c r="V299" s="6" t="s">
        <v>1685</v>
      </c>
    </row>
    <row r="300" spans="1:34" ht="5.25" hidden="1" customHeight="1" x14ac:dyDescent="0.15">
      <c r="D300" s="6"/>
      <c r="U300" s="6"/>
      <c r="V300" s="6"/>
    </row>
    <row r="301" spans="1:34" ht="5.25" hidden="1" customHeight="1" x14ac:dyDescent="0.15">
      <c r="D301" s="6"/>
      <c r="U301" s="6"/>
      <c r="V301" s="6"/>
    </row>
    <row r="302" spans="1:34" ht="15" hidden="1" customHeight="1" x14ac:dyDescent="0.15">
      <c r="A302" t="s">
        <v>425</v>
      </c>
      <c r="C302" t="s">
        <v>4</v>
      </c>
      <c r="D302" s="6" t="s">
        <v>3228</v>
      </c>
      <c r="E302" s="6" t="s">
        <v>355</v>
      </c>
      <c r="F302" s="6"/>
      <c r="G302" s="6"/>
      <c r="H302" s="6" t="str">
        <f>IF(A302="","",INDEX(DIFFERENTIATION_UNMERGE_VD,MATCH(A302,DIFFERENTIATION_ID_DIFF,0)))</f>
        <v>Подключение (технологическое присоединение) к системе теплоснабжения</v>
      </c>
      <c r="I302" s="6"/>
      <c r="J302" s="6"/>
      <c r="K302" s="6"/>
      <c r="L302" s="6"/>
      <c r="M302" s="6"/>
      <c r="N302" s="6"/>
      <c r="O302" s="6"/>
      <c r="P302" s="6"/>
      <c r="Q302" s="6"/>
      <c r="R302" s="6"/>
      <c r="AC302" s="6"/>
      <c r="AE302" t="s">
        <v>4</v>
      </c>
      <c r="AG302" t="s">
        <v>1679</v>
      </c>
      <c r="AH302">
        <v>3</v>
      </c>
    </row>
    <row r="303" spans="1:34" ht="15" hidden="1" customHeight="1" x14ac:dyDescent="0.15">
      <c r="D303" s="6"/>
      <c r="E303" s="6" t="s">
        <v>1680</v>
      </c>
      <c r="F303" s="6"/>
      <c r="G303" s="6"/>
      <c r="H303" s="6" t="str">
        <f>IF(A302="","",INDEX(DIFFERENTIATION_UNMERGE_AREA,MATCH(A302,DIFFERENTIATION_ID_DIFF,0)))</f>
        <v>Территория 23</v>
      </c>
      <c r="I303" s="6"/>
      <c r="J303" s="6"/>
      <c r="K303" s="6"/>
      <c r="L303" s="6"/>
      <c r="M303" s="6"/>
      <c r="N303" s="6"/>
      <c r="O303" s="6"/>
      <c r="P303" s="6"/>
      <c r="Q303" s="6"/>
      <c r="R303" s="6"/>
      <c r="AC303" s="6"/>
    </row>
    <row r="304" spans="1:34" ht="15" hidden="1" customHeight="1" x14ac:dyDescent="0.15">
      <c r="D304" s="6"/>
      <c r="E304" s="6" t="s">
        <v>1681</v>
      </c>
      <c r="F304" s="6"/>
      <c r="G304" s="6"/>
      <c r="H304" s="6" t="str">
        <f>IF(A302="","",INDEX(DIFFERENTIATION_UNMERGE_SYSTEM,MATCH(A302,DIFFERENTIATION_ID_DIFF,0)))</f>
        <v xml:space="preserve">Безверховское сельское поселение </v>
      </c>
      <c r="I304" s="6"/>
      <c r="J304" s="6"/>
      <c r="K304" s="6"/>
      <c r="L304" s="6"/>
      <c r="M304" s="6"/>
      <c r="N304" s="6"/>
      <c r="O304" s="6"/>
      <c r="P304" s="6"/>
      <c r="Q304" s="6"/>
      <c r="R304" s="6"/>
      <c r="AC304" s="6"/>
    </row>
    <row r="305" spans="4:29" ht="24.75" hidden="1" customHeight="1" x14ac:dyDescent="0.15">
      <c r="D305" s="6"/>
      <c r="E305" s="6" t="s">
        <v>1682</v>
      </c>
      <c r="F305" s="6"/>
      <c r="G305" s="6"/>
      <c r="H305" s="6"/>
      <c r="I305" s="6"/>
      <c r="J305" s="6"/>
      <c r="K305" s="6"/>
      <c r="L305" s="6"/>
      <c r="M305" s="6"/>
      <c r="N305" s="6"/>
      <c r="O305" s="6"/>
      <c r="P305" s="6"/>
      <c r="Q305">
        <f>SUMIF(T306:T307,"i",Q306:Q307)</f>
        <v>0</v>
      </c>
      <c r="S305" t="s">
        <v>1683</v>
      </c>
      <c r="T305" t="s">
        <v>1684</v>
      </c>
      <c r="U305" s="6">
        <v>1</v>
      </c>
      <c r="V305" s="6" t="s">
        <v>1685</v>
      </c>
      <c r="AC305" s="6"/>
    </row>
    <row r="306" spans="4:29" ht="11.25" hidden="1" customHeight="1" x14ac:dyDescent="0.15">
      <c r="D306" s="6"/>
      <c r="F306">
        <v>0</v>
      </c>
      <c r="U306" s="6"/>
      <c r="V306" s="6"/>
      <c r="AC306" s="6"/>
    </row>
    <row r="307" spans="4:29" ht="11.25" hidden="1" customHeight="1" x14ac:dyDescent="0.15">
      <c r="D307" s="6"/>
      <c r="E307" t="s">
        <v>4</v>
      </c>
      <c r="F307" t="s">
        <v>4</v>
      </c>
      <c r="G307" t="s">
        <v>1686</v>
      </c>
      <c r="H307" t="s">
        <v>4</v>
      </c>
      <c r="U307" s="6"/>
      <c r="V307" s="6"/>
      <c r="AC307" s="6"/>
    </row>
    <row r="308" spans="4:29" ht="5.25" hidden="1" customHeight="1" x14ac:dyDescent="0.15">
      <c r="D308" s="6"/>
      <c r="T308" t="s">
        <v>1684</v>
      </c>
      <c r="U308" s="6">
        <v>1</v>
      </c>
      <c r="V308" s="6" t="s">
        <v>1685</v>
      </c>
    </row>
    <row r="309" spans="4:29" ht="5.25" hidden="1" customHeight="1" x14ac:dyDescent="0.15">
      <c r="D309" s="6"/>
      <c r="U309" s="6"/>
      <c r="V309" s="6"/>
    </row>
    <row r="310" spans="4:29" ht="5.25" hidden="1" customHeight="1" x14ac:dyDescent="0.15">
      <c r="D310" s="6"/>
      <c r="U310" s="6"/>
      <c r="V310" s="6"/>
    </row>
    <row r="311" spans="4:29" ht="18.75" customHeight="1" x14ac:dyDescent="0.15"/>
    <row r="315" spans="4:29" ht="11.25" customHeight="1" x14ac:dyDescent="0.15">
      <c r="E315" s="6"/>
      <c r="F315" s="6"/>
      <c r="G315" s="6"/>
      <c r="H315" s="6"/>
      <c r="I315" s="6"/>
      <c r="J315" s="6"/>
      <c r="K315" s="6"/>
      <c r="L315" s="6"/>
      <c r="M315" s="6"/>
      <c r="N315" s="6"/>
      <c r="O315" s="6"/>
      <c r="P315" s="6"/>
      <c r="Q315" s="6"/>
      <c r="R315" s="6"/>
    </row>
  </sheetData>
  <sheetProtection formatColumns="0" formatRows="0" insertRows="0" deleteColumns="0" deleteRows="0" sort="0" autoFilter="0"/>
  <mergeCells count="438">
    <mergeCell ref="E5:K5"/>
    <mergeCell ref="E6:K6"/>
    <mergeCell ref="E9:R9"/>
    <mergeCell ref="S9:S10"/>
    <mergeCell ref="E10:F10"/>
    <mergeCell ref="H10:I10"/>
    <mergeCell ref="L10:M10"/>
    <mergeCell ref="D14:D22"/>
    <mergeCell ref="H14:R14"/>
    <mergeCell ref="H15:R15"/>
    <mergeCell ref="H16:R16"/>
    <mergeCell ref="E315:R31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D23:D31"/>
    <mergeCell ref="E23:G23"/>
    <mergeCell ref="H23:R23"/>
    <mergeCell ref="AC23:AC28"/>
    <mergeCell ref="E24:G24"/>
    <mergeCell ref="H24:R24"/>
    <mergeCell ref="E25:G25"/>
    <mergeCell ref="H25:R25"/>
    <mergeCell ref="E26:P26"/>
    <mergeCell ref="D32:D40"/>
    <mergeCell ref="E32:G32"/>
    <mergeCell ref="H32:R32"/>
    <mergeCell ref="AC32:AC37"/>
    <mergeCell ref="E33:G33"/>
    <mergeCell ref="H33:R33"/>
    <mergeCell ref="E34:G34"/>
    <mergeCell ref="H34:R34"/>
    <mergeCell ref="E35:P35"/>
    <mergeCell ref="D41:D49"/>
    <mergeCell ref="E41:G41"/>
    <mergeCell ref="H41:R41"/>
    <mergeCell ref="AC41:AC46"/>
    <mergeCell ref="E42:G42"/>
    <mergeCell ref="H42:R42"/>
    <mergeCell ref="E43:G43"/>
    <mergeCell ref="H43:R43"/>
    <mergeCell ref="E44:P44"/>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49"/>
  <sheetViews>
    <sheetView showGridLines="0" topLeftCell="D5" zoomScale="90" workbookViewId="0">
      <selection activeCell="AO1" sqref="AO1:AO218"/>
    </sheetView>
  </sheetViews>
  <sheetFormatPr defaultColWidth="9.140625" defaultRowHeight="11.25" customHeight="1" x14ac:dyDescent="0.15"/>
  <cols>
    <col min="1" max="1" width="10.7109375" hidden="1" customWidth="1"/>
    <col min="2" max="2" width="16.85546875" hidden="1" customWidth="1"/>
    <col min="3" max="3" width="5.5703125" hidden="1" customWidth="1"/>
    <col min="4" max="4" width="3.7109375" customWidth="1"/>
    <col min="5" max="5" width="7.7109375" customWidth="1"/>
    <col min="6" max="6" width="56.140625" customWidth="1"/>
    <col min="7" max="7" width="10.42578125" customWidth="1"/>
    <col min="8" max="8" width="40.7109375" hidden="1" customWidth="1"/>
    <col min="9" max="41" width="40.7109375" customWidth="1"/>
    <col min="42" max="42" width="40.7109375" hidden="1" customWidth="1"/>
    <col min="43" max="43" width="9.7109375" customWidth="1"/>
    <col min="44" max="44" width="5.28515625" customWidth="1"/>
    <col min="45" max="49" width="3.7109375" customWidth="1"/>
    <col min="50" max="50" width="10.5703125" customWidth="1"/>
    <col min="51" max="51" width="34.7109375" customWidth="1"/>
    <col min="52" max="52" width="9.42578125" customWidth="1"/>
  </cols>
  <sheetData>
    <row r="1" spans="5:43" ht="11.25" hidden="1" customHeight="1" x14ac:dyDescent="0.15">
      <c r="H1">
        <v>4</v>
      </c>
      <c r="I1">
        <v>4</v>
      </c>
      <c r="J1">
        <v>4</v>
      </c>
      <c r="K1">
        <v>4</v>
      </c>
      <c r="L1">
        <v>4</v>
      </c>
      <c r="M1">
        <v>4</v>
      </c>
      <c r="N1">
        <v>4</v>
      </c>
      <c r="O1">
        <v>4</v>
      </c>
      <c r="P1">
        <v>4</v>
      </c>
      <c r="Q1">
        <v>4</v>
      </c>
      <c r="R1">
        <v>4</v>
      </c>
      <c r="S1">
        <v>4</v>
      </c>
      <c r="T1">
        <v>4</v>
      </c>
      <c r="U1">
        <v>4</v>
      </c>
      <c r="V1">
        <v>4</v>
      </c>
      <c r="W1">
        <v>4</v>
      </c>
      <c r="X1">
        <v>4</v>
      </c>
      <c r="Y1">
        <v>4</v>
      </c>
      <c r="Z1">
        <v>4</v>
      </c>
      <c r="AA1">
        <v>4</v>
      </c>
      <c r="AB1">
        <v>4</v>
      </c>
      <c r="AC1">
        <v>4</v>
      </c>
      <c r="AD1">
        <v>4</v>
      </c>
      <c r="AE1">
        <v>4</v>
      </c>
      <c r="AF1">
        <v>4</v>
      </c>
      <c r="AG1">
        <v>4</v>
      </c>
      <c r="AH1">
        <v>4</v>
      </c>
      <c r="AI1">
        <v>4</v>
      </c>
      <c r="AJ1">
        <v>4</v>
      </c>
      <c r="AK1">
        <v>4</v>
      </c>
      <c r="AL1">
        <v>4</v>
      </c>
      <c r="AM1">
        <v>4</v>
      </c>
      <c r="AN1">
        <v>4</v>
      </c>
      <c r="AO1">
        <v>4</v>
      </c>
      <c r="AP1">
        <v>4</v>
      </c>
    </row>
    <row r="2" spans="5:43" ht="22.5" hidden="1" customHeight="1" x14ac:dyDescent="0.15">
      <c r="G2" t="s">
        <v>1976</v>
      </c>
    </row>
    <row r="3" spans="5:43" ht="11.25" hidden="1" customHeight="1" x14ac:dyDescent="0.15"/>
    <row r="4" spans="5:43" ht="11.25" hidden="1" customHeight="1" x14ac:dyDescent="0.15"/>
    <row r="6" spans="5:43" ht="24" customHeight="1" x14ac:dyDescent="0.15">
      <c r="E6" s="6" t="s">
        <v>3229</v>
      </c>
      <c r="F6" s="6"/>
      <c r="G6" s="6"/>
      <c r="H6" s="6"/>
      <c r="I6" s="6"/>
    </row>
    <row r="7" spans="5:43" ht="24" customHeight="1" x14ac:dyDescent="0.15">
      <c r="E7" s="6" t="str">
        <f>IF(org=0,"Не определено",org)</f>
        <v>КГУП "Примтеплоэнерго"</v>
      </c>
      <c r="F7" s="6"/>
      <c r="G7" s="6"/>
      <c r="H7" s="6"/>
      <c r="I7" s="6"/>
    </row>
    <row r="9" spans="5:43" ht="0.75" customHeight="1" x14ac:dyDescent="0.15">
      <c r="I9" t="s">
        <v>364</v>
      </c>
      <c r="J9" t="s">
        <v>368</v>
      </c>
      <c r="K9" t="s">
        <v>370</v>
      </c>
      <c r="L9" t="s">
        <v>372</v>
      </c>
      <c r="M9" t="s">
        <v>374</v>
      </c>
      <c r="N9" t="s">
        <v>376</v>
      </c>
      <c r="O9" t="s">
        <v>378</v>
      </c>
      <c r="P9" t="s">
        <v>380</v>
      </c>
      <c r="Q9" t="s">
        <v>382</v>
      </c>
      <c r="R9" t="s">
        <v>384</v>
      </c>
      <c r="S9" t="s">
        <v>386</v>
      </c>
      <c r="T9" t="s">
        <v>388</v>
      </c>
      <c r="U9" t="s">
        <v>390</v>
      </c>
      <c r="V9" t="s">
        <v>402</v>
      </c>
      <c r="W9" t="s">
        <v>427</v>
      </c>
      <c r="X9" t="s">
        <v>404</v>
      </c>
      <c r="Y9" t="s">
        <v>406</v>
      </c>
      <c r="Z9" t="s">
        <v>408</v>
      </c>
      <c r="AA9" t="s">
        <v>410</v>
      </c>
      <c r="AB9" t="s">
        <v>412</v>
      </c>
      <c r="AC9" t="s">
        <v>413</v>
      </c>
      <c r="AD9" t="s">
        <v>415</v>
      </c>
      <c r="AE9" t="s">
        <v>416</v>
      </c>
      <c r="AF9" t="s">
        <v>418</v>
      </c>
      <c r="AG9" t="s">
        <v>419</v>
      </c>
      <c r="AH9" t="s">
        <v>392</v>
      </c>
      <c r="AI9" t="s">
        <v>394</v>
      </c>
      <c r="AJ9" t="s">
        <v>396</v>
      </c>
      <c r="AK9" t="s">
        <v>398</v>
      </c>
      <c r="AL9" t="s">
        <v>420</v>
      </c>
      <c r="AM9" t="s">
        <v>421</v>
      </c>
      <c r="AN9" t="s">
        <v>423</v>
      </c>
      <c r="AO9" t="s">
        <v>425</v>
      </c>
    </row>
    <row r="10" spans="5:43" ht="11.25" customHeight="1" x14ac:dyDescent="0.15">
      <c r="F10" s="6" t="s">
        <v>355</v>
      </c>
      <c r="G10" s="6"/>
      <c r="H10" t="str">
        <f t="shared" ref="H10:AP10" si="0">IF(H9="","",INDEX(DIFFERENTIATION_UNMERGE_VD,MATCH(H9,DIFFERENTIATION_ID_DIFF,0)))</f>
        <v/>
      </c>
      <c r="I10" t="str">
        <f t="shared" si="0"/>
        <v>Производство тепловой энергии. Некомбинированная выработка</v>
      </c>
      <c r="J10" t="str">
        <f t="shared" si="0"/>
        <v>Производство тепловой энергии. Некомбинированная выработка</v>
      </c>
      <c r="K10" t="str">
        <f t="shared" si="0"/>
        <v>Производство тепловой энергии. Некомбинированная выработка</v>
      </c>
      <c r="L10" t="str">
        <f t="shared" si="0"/>
        <v>Производство тепловой энергии. Некомбинированная выработка</v>
      </c>
      <c r="M10" t="str">
        <f t="shared" si="0"/>
        <v>Производство тепловой энергии. Некомбинированная выработка</v>
      </c>
      <c r="N10" t="str">
        <f t="shared" si="0"/>
        <v>Производство тепловой энергии. Некомбинированная выработка</v>
      </c>
      <c r="O10" t="str">
        <f t="shared" si="0"/>
        <v>Производство тепловой энергии. Некомбинированная выработка</v>
      </c>
      <c r="P10" t="str">
        <f t="shared" si="0"/>
        <v>Производство тепловой энергии. Некомбинированная выработка</v>
      </c>
      <c r="Q10" t="str">
        <f t="shared" si="0"/>
        <v>Производство тепловой энергии. Некомбинированная выработка</v>
      </c>
      <c r="R10" t="str">
        <f t="shared" si="0"/>
        <v>Производство тепловой энергии. Некомбинированная выработка</v>
      </c>
      <c r="S10" t="str">
        <f t="shared" si="0"/>
        <v>Производство тепловой энергии. Некомбинированная выработка</v>
      </c>
      <c r="T10" t="str">
        <f t="shared" si="0"/>
        <v>Производство тепловой энергии. Некомбинированная выработка</v>
      </c>
      <c r="U10" t="str">
        <f t="shared" si="0"/>
        <v>Производство тепловой энергии. Некомбинированная выработка</v>
      </c>
      <c r="V10" t="str">
        <f t="shared" si="0"/>
        <v>Подключение (технологическое присоединение) к системе теплоснабжения</v>
      </c>
      <c r="W10" t="str">
        <f t="shared" si="0"/>
        <v>Передача. Тепловая энергия</v>
      </c>
      <c r="X10" t="str">
        <f t="shared" si="0"/>
        <v>Подключение (технологическое присоединение) к системе теплоснабжения</v>
      </c>
      <c r="Y10" t="str">
        <f t="shared" si="0"/>
        <v>Подключение (технологическое присоединение) к системе теплоснабжения</v>
      </c>
      <c r="Z10" t="str">
        <f t="shared" si="0"/>
        <v>Подключение (технологическое присоединение) к системе теплоснабжения</v>
      </c>
      <c r="AA10" t="str">
        <f t="shared" si="0"/>
        <v>Подключение (технологическое присоединение) к системе теплоснабжения</v>
      </c>
      <c r="AB10" t="str">
        <f t="shared" si="0"/>
        <v>Подключение (технологическое присоединение) к системе теплоснабжения</v>
      </c>
      <c r="AC10" t="str">
        <f t="shared" si="0"/>
        <v>Подключение (технологическое присоединение) к системе теплоснабжения</v>
      </c>
      <c r="AD10" t="str">
        <f t="shared" si="0"/>
        <v>Подключение (технологическое присоединение) к системе теплоснабжения</v>
      </c>
      <c r="AE10" t="str">
        <f t="shared" si="0"/>
        <v>Подключение (технологическое присоединение) к системе теплоснабжения</v>
      </c>
      <c r="AF10" t="str">
        <f t="shared" si="0"/>
        <v>Подключение (технологическое присоединение) к системе теплоснабжения</v>
      </c>
      <c r="AG10" t="str">
        <f t="shared" si="0"/>
        <v>Подключение (технологическое присоединение) к системе теплоснабжения</v>
      </c>
      <c r="AH10" t="str">
        <f t="shared" si="0"/>
        <v>Производство тепловой энергии. Некомбинированная выработка</v>
      </c>
      <c r="AI10" t="str">
        <f t="shared" si="0"/>
        <v>Производство тепловой энергии. Некомбинированная выработка</v>
      </c>
      <c r="AJ10" t="str">
        <f t="shared" si="0"/>
        <v>Производство тепловой энергии. Некомбинированная выработка</v>
      </c>
      <c r="AK10" t="str">
        <f t="shared" si="0"/>
        <v>Производство тепловой энергии. Некомбинированная выработка</v>
      </c>
      <c r="AL10" t="str">
        <f t="shared" si="0"/>
        <v>Подключение (технологическое присоединение) к системе теплоснабжения</v>
      </c>
      <c r="AM10" t="str">
        <f t="shared" si="0"/>
        <v>Подключение (технологическое присоединение) к системе теплоснабжения</v>
      </c>
      <c r="AN10" t="str">
        <f t="shared" si="0"/>
        <v>Подключение (технологическое присоединение) к системе теплоснабжения</v>
      </c>
      <c r="AO10" t="str">
        <f t="shared" si="0"/>
        <v>Подключение (технологическое присоединение) к системе теплоснабжения</v>
      </c>
      <c r="AP10" t="str">
        <f t="shared" si="0"/>
        <v/>
      </c>
    </row>
    <row r="11" spans="5:43" ht="11.25" customHeight="1" x14ac:dyDescent="0.15">
      <c r="F11" s="6" t="s">
        <v>1680</v>
      </c>
      <c r="G11" s="6"/>
      <c r="H11" t="str">
        <f t="shared" ref="H11:AP11" si="1">IF(H9="","",INDEX(DIFFERENTIATION_UNMERGE_AREA,MATCH(H9,DIFFERENTIATION_ID_DIFF,0)))</f>
        <v/>
      </c>
      <c r="I11" t="str">
        <f t="shared" si="1"/>
        <v>без дифференциации</v>
      </c>
      <c r="J11" t="str">
        <f t="shared" si="1"/>
        <v>без дифференциации</v>
      </c>
      <c r="K11" t="str">
        <f t="shared" si="1"/>
        <v>без дифференциации</v>
      </c>
      <c r="L11" t="str">
        <f t="shared" si="1"/>
        <v>без дифференциации</v>
      </c>
      <c r="M11" t="str">
        <f t="shared" si="1"/>
        <v>без дифференциации</v>
      </c>
      <c r="N11" t="str">
        <f t="shared" si="1"/>
        <v>без дифференциации</v>
      </c>
      <c r="O11" t="str">
        <f t="shared" si="1"/>
        <v>без дифференциации</v>
      </c>
      <c r="P11" t="str">
        <f t="shared" si="1"/>
        <v>без дифференциации</v>
      </c>
      <c r="Q11" t="str">
        <f t="shared" si="1"/>
        <v>без дифференциации</v>
      </c>
      <c r="R11" t="str">
        <f t="shared" si="1"/>
        <v>без дифференциации</v>
      </c>
      <c r="S11" t="str">
        <f t="shared" si="1"/>
        <v>без дифференциации</v>
      </c>
      <c r="T11" t="str">
        <f t="shared" si="1"/>
        <v>без дифференциации</v>
      </c>
      <c r="U11" t="str">
        <f t="shared" si="1"/>
        <v>без дифференциации</v>
      </c>
      <c r="V11" t="str">
        <f t="shared" si="1"/>
        <v>Территория 33</v>
      </c>
      <c r="W11" t="str">
        <f t="shared" si="1"/>
        <v>Территория 1</v>
      </c>
      <c r="X11" t="str">
        <f t="shared" si="1"/>
        <v>Территория 25</v>
      </c>
      <c r="Y11" t="str">
        <f t="shared" si="1"/>
        <v>Территория 10</v>
      </c>
      <c r="Z11" t="str">
        <f t="shared" si="1"/>
        <v>Территория 9</v>
      </c>
      <c r="AA11" t="str">
        <f t="shared" si="1"/>
        <v>Территория 4</v>
      </c>
      <c r="AB11" t="str">
        <f t="shared" si="1"/>
        <v>Территория 21</v>
      </c>
      <c r="AC11" t="str">
        <f t="shared" si="1"/>
        <v>Территория 16</v>
      </c>
      <c r="AD11" t="str">
        <f t="shared" si="1"/>
        <v>Территория 22</v>
      </c>
      <c r="AE11" t="str">
        <f t="shared" si="1"/>
        <v>Территория 7</v>
      </c>
      <c r="AF11" t="str">
        <f t="shared" si="1"/>
        <v>Территория 15</v>
      </c>
      <c r="AG11" t="str">
        <f t="shared" si="1"/>
        <v>Территория 32</v>
      </c>
      <c r="AH11" t="str">
        <f t="shared" si="1"/>
        <v>без дифференциации</v>
      </c>
      <c r="AI11" t="str">
        <f t="shared" si="1"/>
        <v>без дифференциации</v>
      </c>
      <c r="AJ11" t="str">
        <f t="shared" si="1"/>
        <v>без дифференциации</v>
      </c>
      <c r="AK11" t="str">
        <f t="shared" si="1"/>
        <v>без дифференциации</v>
      </c>
      <c r="AL11" t="str">
        <f t="shared" si="1"/>
        <v>Территория 1</v>
      </c>
      <c r="AM11" t="str">
        <f t="shared" si="1"/>
        <v>Территория 17</v>
      </c>
      <c r="AN11" t="str">
        <f t="shared" si="1"/>
        <v>Территория 23</v>
      </c>
      <c r="AO11" t="str">
        <f t="shared" si="1"/>
        <v>Территория 23</v>
      </c>
      <c r="AP11" t="str">
        <f t="shared" si="1"/>
        <v/>
      </c>
    </row>
    <row r="12" spans="5:43" ht="11.25" hidden="1" customHeight="1" x14ac:dyDescent="0.15">
      <c r="F12" s="6" t="s">
        <v>1681</v>
      </c>
      <c r="G12" s="6"/>
      <c r="H12" t="str">
        <f t="shared" ref="H12:AP12" si="2">IF(H9="","",INDEX(DIFFERENTIATION_UNMERGE_SYSTEM,MATCH(H9,DIFFERENTIATION_ID_DIFF,0)))</f>
        <v/>
      </c>
      <c r="I12" t="str">
        <f t="shared" si="2"/>
        <v>Единый тариф на тепловую энергию по Приморскому краю</v>
      </c>
      <c r="J12" t="str">
        <f t="shared" si="2"/>
        <v>Тариф на тепловую энергию по Арсеньевскому ГО</v>
      </c>
      <c r="K12" t="str">
        <f t="shared" si="2"/>
        <v xml:space="preserve">Тариф на тепловую энергию по городскому округгу Большой Камень
</v>
      </c>
      <c r="L12" t="str">
        <f t="shared" si="2"/>
        <v>ГВС-открытая система на территории Артемовский городской округ, Артемовский городской округ (05705000)</v>
      </c>
      <c r="M12" t="str">
        <f t="shared" si="2"/>
        <v>ГВС-открытая система на территории Дальнегорский городской округ, Дальнегорский городской округ (05707000);</v>
      </c>
      <c r="N12" t="str">
        <f t="shared" si="2"/>
        <v xml:space="preserve">ГВС-открытая система на территории Кавалеровский муниципальный район, Кавалеровский муниципальный район (05610000); </v>
      </c>
      <c r="O12" t="str">
        <f t="shared" si="2"/>
        <v xml:space="preserve">ГВС-открытая система на территории Кировский муниципальный район, Горноключевское гороское поселение (05612154); </v>
      </c>
      <c r="P12" t="str">
        <f t="shared" si="2"/>
        <v xml:space="preserve">ГВС-открытая система на территории Михайловский муниципальный район, Новошахтинское городское поселение (05620154); </v>
      </c>
      <c r="Q12" t="str">
        <f t="shared" si="2"/>
        <v xml:space="preserve">ГВС-открытая система на территории Пожарский муниципальный район, Губеровское сельское поселение (05634407); </v>
      </c>
      <c r="R12" t="str">
        <f t="shared" si="2"/>
        <v xml:space="preserve">ГВС-открытая система на территории Пожарский муниципальный район, Нагорненское сельское поселение (05634418); </v>
      </c>
      <c r="S12" t="str">
        <f t="shared" si="2"/>
        <v xml:space="preserve">ГВС-открытая система на территории Хасанский муниципальный район, Зарубинское городское поселение (05648153); </v>
      </c>
      <c r="T12" t="str">
        <f t="shared" si="2"/>
        <v xml:space="preserve">ГВС-открытая система на территории Хасанский муниципальный район, Славянское городское поселение (05648151); </v>
      </c>
      <c r="U12" t="str">
        <f t="shared" si="2"/>
        <v xml:space="preserve">ГВС-открытая система на территории Хорольский муниципальный район, Ярославское городское поселение (05650156); </v>
      </c>
      <c r="V12" t="str">
        <f t="shared" si="2"/>
        <v>Городской округ Большой Камень</v>
      </c>
      <c r="W12" t="str">
        <f t="shared" si="2"/>
        <v xml:space="preserve">Лесозаводский городской округ, Лесозаводский городской округ (05711000);
</v>
      </c>
      <c r="X12" t="str">
        <f t="shared" si="2"/>
        <v>Черниговский муниципальный район</v>
      </c>
      <c r="Y12" t="str">
        <f t="shared" si="2"/>
        <v>Спасское МО</v>
      </c>
      <c r="Z12" t="str">
        <f t="shared" si="2"/>
        <v>Городской округ Спасск Дальний</v>
      </c>
      <c r="AA12" t="str">
        <f t="shared" si="2"/>
        <v>Дальнереченский  городской округ</v>
      </c>
      <c r="AB12" t="str">
        <f t="shared" si="2"/>
        <v>Пожарский муниципальное образование</v>
      </c>
      <c r="AC12" t="str">
        <f t="shared" si="2"/>
        <v>Михайловский муниципальный район</v>
      </c>
      <c r="AD12" t="str">
        <f t="shared" si="2"/>
        <v>Ханкайский муниципальный район</v>
      </c>
      <c r="AE12" t="str">
        <f t="shared" si="2"/>
        <v>Находкинский городской округ</v>
      </c>
      <c r="AF12" t="str">
        <f t="shared" si="2"/>
        <v>Лазовский МО</v>
      </c>
      <c r="AG12" t="str">
        <f t="shared" si="2"/>
        <v>Арсеньевский городской округ</v>
      </c>
      <c r="AH12" t="str">
        <f t="shared" si="2"/>
        <v xml:space="preserve">ГВС-открытая система на территории Шкотовский муниципальный район, Штыковское сельское поселение (05657432); </v>
      </c>
      <c r="AI12" t="str">
        <f t="shared" si="2"/>
        <v>ГВС-открытая система на территории Владивостокского городского округа (05701000).</v>
      </c>
      <c r="AJ12" t="str">
        <f t="shared" si="2"/>
        <v xml:space="preserve">ГВС-открытая система на территории Арсеньевский городской округ, (05703000);
</v>
      </c>
      <c r="AK12" t="str">
        <f t="shared" si="2"/>
        <v xml:space="preserve">ГВС-открытая система на территории городской округ Большой Камень, (05706000);
</v>
      </c>
      <c r="AL12" t="str">
        <f t="shared" si="2"/>
        <v>Артемовский городской округ</v>
      </c>
      <c r="AM12" t="str">
        <f t="shared" si="2"/>
        <v>Надеждинский муниципальный район</v>
      </c>
      <c r="AN12" t="str">
        <f t="shared" si="2"/>
        <v>Приморское городское поселение</v>
      </c>
      <c r="AO12" t="str">
        <f t="shared" si="2"/>
        <v xml:space="preserve">Безверховское сельское поселение </v>
      </c>
      <c r="AP12" t="str">
        <f t="shared" si="2"/>
        <v/>
      </c>
    </row>
    <row r="13" spans="5:43" ht="11.25" customHeight="1" x14ac:dyDescent="0.15">
      <c r="E13" s="6" t="s">
        <v>593</v>
      </c>
      <c r="F13" s="6"/>
      <c r="G13" s="6"/>
    </row>
    <row r="14" spans="5:43" ht="22.5" customHeight="1" x14ac:dyDescent="0.15">
      <c r="E14" t="s">
        <v>75</v>
      </c>
      <c r="F14" t="s">
        <v>595</v>
      </c>
      <c r="G14" t="s">
        <v>1859</v>
      </c>
      <c r="H14" t="s">
        <v>596</v>
      </c>
      <c r="I14" t="s">
        <v>596</v>
      </c>
      <c r="J14" t="s">
        <v>596</v>
      </c>
      <c r="K14" t="s">
        <v>596</v>
      </c>
      <c r="L14" t="s">
        <v>596</v>
      </c>
      <c r="M14" t="s">
        <v>596</v>
      </c>
      <c r="N14" t="s">
        <v>596</v>
      </c>
      <c r="O14" t="s">
        <v>596</v>
      </c>
      <c r="P14" t="s">
        <v>596</v>
      </c>
      <c r="Q14" t="s">
        <v>596</v>
      </c>
      <c r="R14" t="s">
        <v>596</v>
      </c>
      <c r="S14" t="s">
        <v>596</v>
      </c>
      <c r="T14" t="s">
        <v>596</v>
      </c>
      <c r="U14" t="s">
        <v>596</v>
      </c>
      <c r="V14" t="s">
        <v>596</v>
      </c>
      <c r="W14" t="s">
        <v>596</v>
      </c>
      <c r="X14" t="s">
        <v>596</v>
      </c>
      <c r="Y14" t="s">
        <v>596</v>
      </c>
      <c r="Z14" t="s">
        <v>596</v>
      </c>
      <c r="AA14" t="s">
        <v>596</v>
      </c>
      <c r="AB14" t="s">
        <v>596</v>
      </c>
      <c r="AC14" t="s">
        <v>596</v>
      </c>
      <c r="AD14" t="s">
        <v>596</v>
      </c>
      <c r="AE14" t="s">
        <v>596</v>
      </c>
      <c r="AF14" t="s">
        <v>596</v>
      </c>
      <c r="AG14" t="s">
        <v>596</v>
      </c>
      <c r="AH14" t="s">
        <v>596</v>
      </c>
      <c r="AI14" t="s">
        <v>596</v>
      </c>
      <c r="AJ14" t="s">
        <v>596</v>
      </c>
      <c r="AK14" t="s">
        <v>596</v>
      </c>
      <c r="AL14" t="s">
        <v>596</v>
      </c>
      <c r="AM14" t="s">
        <v>596</v>
      </c>
      <c r="AN14" t="s">
        <v>596</v>
      </c>
      <c r="AO14" t="s">
        <v>596</v>
      </c>
      <c r="AP14" t="s">
        <v>596</v>
      </c>
    </row>
    <row r="15" spans="5:43" ht="18.75" customHeight="1" x14ac:dyDescent="0.15">
      <c r="E15" t="s">
        <v>165</v>
      </c>
      <c r="F15" t="s">
        <v>3230</v>
      </c>
      <c r="G15" t="s">
        <v>1976</v>
      </c>
      <c r="AQ15" t="s">
        <v>3231</v>
      </c>
    </row>
    <row r="16" spans="5:43" ht="33.75" customHeight="1" x14ac:dyDescent="0.15">
      <c r="E16" t="s">
        <v>89</v>
      </c>
      <c r="F16" t="s">
        <v>3232</v>
      </c>
      <c r="G16" t="s">
        <v>1976</v>
      </c>
      <c r="H16">
        <f t="shared" ref="H16:AP16" si="3">SUM(H17,H20:H32)</f>
        <v>0</v>
      </c>
      <c r="I16">
        <f t="shared" si="3"/>
        <v>0</v>
      </c>
      <c r="J16">
        <f t="shared" si="3"/>
        <v>0</v>
      </c>
      <c r="K16">
        <f t="shared" si="3"/>
        <v>0</v>
      </c>
      <c r="L16">
        <f t="shared" si="3"/>
        <v>0</v>
      </c>
      <c r="M16">
        <f t="shared" si="3"/>
        <v>0</v>
      </c>
      <c r="N16">
        <f t="shared" si="3"/>
        <v>0</v>
      </c>
      <c r="O16">
        <f t="shared" si="3"/>
        <v>0</v>
      </c>
      <c r="P16">
        <f t="shared" si="3"/>
        <v>0</v>
      </c>
      <c r="Q16">
        <f t="shared" si="3"/>
        <v>0</v>
      </c>
      <c r="R16">
        <f t="shared" si="3"/>
        <v>0</v>
      </c>
      <c r="S16">
        <f t="shared" si="3"/>
        <v>0</v>
      </c>
      <c r="T16">
        <f t="shared" si="3"/>
        <v>0</v>
      </c>
      <c r="U16">
        <f t="shared" si="3"/>
        <v>0</v>
      </c>
      <c r="V16">
        <f t="shared" si="3"/>
        <v>0</v>
      </c>
      <c r="W16">
        <f t="shared" si="3"/>
        <v>0</v>
      </c>
      <c r="X16">
        <f t="shared" si="3"/>
        <v>0</v>
      </c>
      <c r="Y16">
        <f t="shared" si="3"/>
        <v>0</v>
      </c>
      <c r="Z16">
        <f t="shared" si="3"/>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3"/>
        <v>0</v>
      </c>
      <c r="AL16">
        <f t="shared" si="3"/>
        <v>0</v>
      </c>
      <c r="AM16">
        <f t="shared" si="3"/>
        <v>0</v>
      </c>
      <c r="AN16">
        <f t="shared" si="3"/>
        <v>0</v>
      </c>
      <c r="AO16">
        <f t="shared" si="3"/>
        <v>0</v>
      </c>
      <c r="AP16">
        <f t="shared" si="3"/>
        <v>0</v>
      </c>
      <c r="AQ16" t="s">
        <v>3231</v>
      </c>
    </row>
    <row r="17" spans="5:42" ht="18.75" customHeight="1" x14ac:dyDescent="0.15">
      <c r="E17" t="s">
        <v>799</v>
      </c>
      <c r="F17" t="s">
        <v>3233</v>
      </c>
      <c r="G17" t="s">
        <v>1976</v>
      </c>
    </row>
    <row r="18" spans="5:42" ht="22.5" customHeight="1" x14ac:dyDescent="0.15">
      <c r="E18" t="s">
        <v>1717</v>
      </c>
      <c r="F18" t="s">
        <v>3234</v>
      </c>
      <c r="G18" t="s">
        <v>1976</v>
      </c>
    </row>
    <row r="19" spans="5:42" ht="33.75" customHeight="1" x14ac:dyDescent="0.15">
      <c r="E19" t="s">
        <v>3235</v>
      </c>
      <c r="F19" t="s">
        <v>3236</v>
      </c>
      <c r="G19" t="s">
        <v>1976</v>
      </c>
    </row>
    <row r="20" spans="5:42" ht="18.75" customHeight="1" x14ac:dyDescent="0.15">
      <c r="E20" t="s">
        <v>600</v>
      </c>
      <c r="F20" t="s">
        <v>3237</v>
      </c>
      <c r="G20" t="s">
        <v>1976</v>
      </c>
    </row>
    <row r="21" spans="5:42" ht="18.75" customHeight="1" x14ac:dyDescent="0.15">
      <c r="E21" t="s">
        <v>814</v>
      </c>
      <c r="F21" t="s">
        <v>3238</v>
      </c>
      <c r="G21" t="s">
        <v>1976</v>
      </c>
    </row>
    <row r="22" spans="5:42" ht="18.75" customHeight="1" x14ac:dyDescent="0.15">
      <c r="E22" t="s">
        <v>819</v>
      </c>
      <c r="F22" t="s">
        <v>3239</v>
      </c>
      <c r="G22" t="s">
        <v>1976</v>
      </c>
    </row>
    <row r="23" spans="5:42" ht="22.5" customHeight="1" x14ac:dyDescent="0.15">
      <c r="E23" t="s">
        <v>603</v>
      </c>
      <c r="F23" t="s">
        <v>3240</v>
      </c>
      <c r="G23" t="s">
        <v>1976</v>
      </c>
    </row>
    <row r="24" spans="5:42" ht="18.75" customHeight="1" x14ac:dyDescent="0.15">
      <c r="E24" t="s">
        <v>813</v>
      </c>
      <c r="F24" t="s">
        <v>3241</v>
      </c>
      <c r="G24" t="s">
        <v>1976</v>
      </c>
    </row>
    <row r="25" spans="5:42" ht="33.75" customHeight="1" x14ac:dyDescent="0.15">
      <c r="E25" t="s">
        <v>818</v>
      </c>
      <c r="F25" t="s">
        <v>3242</v>
      </c>
      <c r="G25" t="s">
        <v>1976</v>
      </c>
    </row>
    <row r="26" spans="5:42" ht="22.5" customHeight="1" x14ac:dyDescent="0.15">
      <c r="E26" t="s">
        <v>808</v>
      </c>
      <c r="F26" t="s">
        <v>3243</v>
      </c>
      <c r="G26" t="s">
        <v>1976</v>
      </c>
    </row>
    <row r="27" spans="5:42" ht="18.75" customHeight="1" x14ac:dyDescent="0.15">
      <c r="E27" t="s">
        <v>829</v>
      </c>
      <c r="F27" t="s">
        <v>3244</v>
      </c>
      <c r="G27" t="s">
        <v>1976</v>
      </c>
    </row>
    <row r="28" spans="5:42" ht="18.75" customHeight="1" x14ac:dyDescent="0.15">
      <c r="E28" t="s">
        <v>833</v>
      </c>
      <c r="F28" t="s">
        <v>3245</v>
      </c>
      <c r="G28" t="s">
        <v>1976</v>
      </c>
    </row>
    <row r="29" spans="5:42" ht="18.75" customHeight="1" x14ac:dyDescent="0.15">
      <c r="E29" t="s">
        <v>810</v>
      </c>
      <c r="F29" t="s">
        <v>3246</v>
      </c>
      <c r="G29" t="s">
        <v>1976</v>
      </c>
    </row>
    <row r="30" spans="5:42" ht="18.75" customHeight="1" x14ac:dyDescent="0.15">
      <c r="E30" t="s">
        <v>824</v>
      </c>
      <c r="F30" t="s">
        <v>3247</v>
      </c>
      <c r="G30" t="s">
        <v>1976</v>
      </c>
    </row>
    <row r="31" spans="5:42" ht="18.75" customHeight="1" x14ac:dyDescent="0.15">
      <c r="E31" t="s">
        <v>835</v>
      </c>
      <c r="F31" t="s">
        <v>3248</v>
      </c>
      <c r="G31" t="s">
        <v>1976</v>
      </c>
    </row>
    <row r="32" spans="5:42" ht="22.5" customHeight="1" x14ac:dyDescent="0.15">
      <c r="E32" t="s">
        <v>846</v>
      </c>
      <c r="F32" t="s">
        <v>3249</v>
      </c>
      <c r="G32" t="s">
        <v>1976</v>
      </c>
      <c r="H32">
        <f t="shared" ref="H32:AP32" si="4">SUM(H33:H34)</f>
        <v>0</v>
      </c>
      <c r="I32">
        <f t="shared" si="4"/>
        <v>0</v>
      </c>
      <c r="J32">
        <f t="shared" si="4"/>
        <v>0</v>
      </c>
      <c r="K32">
        <f t="shared" si="4"/>
        <v>0</v>
      </c>
      <c r="L32">
        <f t="shared" si="4"/>
        <v>0</v>
      </c>
      <c r="M32">
        <f t="shared" si="4"/>
        <v>0</v>
      </c>
      <c r="N32">
        <f t="shared" si="4"/>
        <v>0</v>
      </c>
      <c r="O32">
        <f t="shared" si="4"/>
        <v>0</v>
      </c>
      <c r="P32">
        <f t="shared" si="4"/>
        <v>0</v>
      </c>
      <c r="Q32">
        <f t="shared" si="4"/>
        <v>0</v>
      </c>
      <c r="R32">
        <f t="shared" si="4"/>
        <v>0</v>
      </c>
      <c r="S32">
        <f t="shared" si="4"/>
        <v>0</v>
      </c>
      <c r="T32">
        <f t="shared" si="4"/>
        <v>0</v>
      </c>
      <c r="U32">
        <f t="shared" si="4"/>
        <v>0</v>
      </c>
      <c r="V32">
        <f t="shared" si="4"/>
        <v>0</v>
      </c>
      <c r="W32">
        <f t="shared" si="4"/>
        <v>0</v>
      </c>
      <c r="X32">
        <f t="shared" si="4"/>
        <v>0</v>
      </c>
      <c r="Y32">
        <f t="shared" si="4"/>
        <v>0</v>
      </c>
      <c r="Z32">
        <f t="shared" si="4"/>
        <v>0</v>
      </c>
      <c r="AA32">
        <f t="shared" si="4"/>
        <v>0</v>
      </c>
      <c r="AB32">
        <f t="shared" si="4"/>
        <v>0</v>
      </c>
      <c r="AC32">
        <f t="shared" si="4"/>
        <v>0</v>
      </c>
      <c r="AD32">
        <f t="shared" si="4"/>
        <v>0</v>
      </c>
      <c r="AE32">
        <f t="shared" si="4"/>
        <v>0</v>
      </c>
      <c r="AF32">
        <f t="shared" si="4"/>
        <v>0</v>
      </c>
      <c r="AG32">
        <f t="shared" si="4"/>
        <v>0</v>
      </c>
      <c r="AH32">
        <f t="shared" si="4"/>
        <v>0</v>
      </c>
      <c r="AI32">
        <f t="shared" si="4"/>
        <v>0</v>
      </c>
      <c r="AJ32">
        <f t="shared" si="4"/>
        <v>0</v>
      </c>
      <c r="AK32">
        <f t="shared" si="4"/>
        <v>0</v>
      </c>
      <c r="AL32">
        <f t="shared" si="4"/>
        <v>0</v>
      </c>
      <c r="AM32">
        <f t="shared" si="4"/>
        <v>0</v>
      </c>
      <c r="AN32">
        <f t="shared" si="4"/>
        <v>0</v>
      </c>
      <c r="AO32">
        <f t="shared" si="4"/>
        <v>0</v>
      </c>
      <c r="AP32">
        <f t="shared" si="4"/>
        <v>0</v>
      </c>
    </row>
    <row r="33" spans="1:42" ht="0.75" customHeight="1" x14ac:dyDescent="0.15">
      <c r="E33" t="str">
        <f>E32&amp;".0"</f>
        <v>2.8.0</v>
      </c>
    </row>
    <row r="34" spans="1:42" ht="18.75" customHeight="1" x14ac:dyDescent="0.15">
      <c r="F34" t="s">
        <v>2006</v>
      </c>
    </row>
    <row r="35" spans="1:42" ht="56.25" customHeight="1" x14ac:dyDescent="0.15">
      <c r="E35" t="s">
        <v>854</v>
      </c>
      <c r="F35" t="s">
        <v>3250</v>
      </c>
      <c r="G35" t="s">
        <v>1976</v>
      </c>
    </row>
    <row r="36" spans="1:42" ht="22.5" customHeight="1" x14ac:dyDescent="0.15">
      <c r="A36" t="s">
        <v>2007</v>
      </c>
      <c r="E36" t="s">
        <v>77</v>
      </c>
      <c r="F36" t="s">
        <v>3251</v>
      </c>
      <c r="G36" t="s">
        <v>1976</v>
      </c>
    </row>
    <row r="37" spans="1:42" ht="22.5" customHeight="1" x14ac:dyDescent="0.15">
      <c r="E37" t="s">
        <v>619</v>
      </c>
      <c r="F37" t="s">
        <v>3252</v>
      </c>
    </row>
    <row r="38" spans="1:42" ht="18.75" customHeight="1" x14ac:dyDescent="0.15">
      <c r="E38" t="s">
        <v>78</v>
      </c>
      <c r="F38" t="s">
        <v>909</v>
      </c>
      <c r="G38" t="s">
        <v>1976</v>
      </c>
    </row>
    <row r="39" spans="1:42" ht="22.5" customHeight="1" x14ac:dyDescent="0.15">
      <c r="E39" t="s">
        <v>907</v>
      </c>
      <c r="F39" t="s">
        <v>3253</v>
      </c>
      <c r="G39" t="s">
        <v>1976</v>
      </c>
    </row>
    <row r="40" spans="1:42" ht="22.5" customHeight="1" x14ac:dyDescent="0.15">
      <c r="E40" t="s">
        <v>916</v>
      </c>
      <c r="F40" t="s">
        <v>3254</v>
      </c>
      <c r="G40" t="s">
        <v>1976</v>
      </c>
    </row>
    <row r="41" spans="1:42" ht="22.5" customHeight="1" x14ac:dyDescent="0.15">
      <c r="E41" t="s">
        <v>922</v>
      </c>
      <c r="F41" t="s">
        <v>3255</v>
      </c>
      <c r="G41" t="s">
        <v>1976</v>
      </c>
    </row>
    <row r="42" spans="1:42" ht="22.5" customHeight="1" x14ac:dyDescent="0.15">
      <c r="E42" t="s">
        <v>3256</v>
      </c>
      <c r="F42" t="s">
        <v>3257</v>
      </c>
      <c r="G42" t="s">
        <v>1976</v>
      </c>
    </row>
    <row r="43" spans="1:42" ht="33.75" customHeight="1" x14ac:dyDescent="0.15">
      <c r="C43" t="s">
        <v>2616</v>
      </c>
      <c r="E43" t="s">
        <v>100</v>
      </c>
      <c r="F43" t="s">
        <v>932</v>
      </c>
      <c r="G43" t="s">
        <v>3258</v>
      </c>
    </row>
    <row r="44" spans="1:42" ht="22.5" customHeight="1" x14ac:dyDescent="0.15">
      <c r="E44" t="s">
        <v>79</v>
      </c>
      <c r="F44" t="s">
        <v>3259</v>
      </c>
      <c r="G44" t="s">
        <v>3260</v>
      </c>
    </row>
    <row r="45" spans="1:42" ht="22.5" customHeight="1" x14ac:dyDescent="0.15">
      <c r="E45" t="s">
        <v>80</v>
      </c>
      <c r="F45" t="s">
        <v>3261</v>
      </c>
      <c r="G45" t="s">
        <v>3262</v>
      </c>
    </row>
    <row r="46" spans="1:42" ht="18.75" customHeight="1" x14ac:dyDescent="0.15">
      <c r="E46" t="s">
        <v>102</v>
      </c>
      <c r="F46" t="s">
        <v>3263</v>
      </c>
      <c r="G46" t="s">
        <v>2618</v>
      </c>
    </row>
    <row r="48" spans="1:42" ht="26.25" customHeight="1" x14ac:dyDescent="0.15">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6:42" ht="37.5" customHeight="1" x14ac:dyDescent="0.15">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row>
  </sheetData>
  <sheetProtection formatColumns="0" formatRows="0" insertRows="0" deleteColumns="0" deleteRows="0" sort="0" autoFilter="0"/>
  <mergeCells count="8">
    <mergeCell ref="F48:AP48"/>
    <mergeCell ref="F49:AP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O33 AP33">
      <formula1>900</formula1>
    </dataValidation>
    <dataValidation type="decimal" allowBlank="1" showErrorMessage="1" errorTitle="Ошибка" error="Допускается ввод только неотрицательных чисел!" sqref="H38:AO39 H2:AO2 H15:AO15 H17:AO32 H35:AO35 H44:AO46 AP2 AP15 AP17 AP18 AP19 AP20 AP21 AP22 AP23 AP24 AP25 AP26 AP27 AP28 AP29 AP30 AP31 AP32 AP35 AP38 AP39 AP44 AP45 AP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O43 AP43">
      <formula1>900</formula1>
    </dataValidation>
    <dataValidation type="decimal" allowBlank="1" showErrorMessage="1" errorTitle="Ошибка" error="Допускается ввод только действительных чисел!" sqref="H36:AO37 AP36 AP37">
      <formula1>-9.99999999999999E+23</formula1>
      <formula2>9.99999999999999E+23</formula2>
    </dataValidation>
    <dataValidation type="decimal" allowBlank="1" showErrorMessage="1" errorTitle="Ошибка" error="Допускается ввод только действительных чисел!" sqref="H40:AO42 AP40 AP41 AP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40"/>
  <sheetViews>
    <sheetView showGridLines="0" topLeftCell="D5" zoomScale="90" workbookViewId="0">
      <selection activeCell="AO1" sqref="AO1:AO209"/>
    </sheetView>
  </sheetViews>
  <sheetFormatPr defaultColWidth="9.140625" defaultRowHeight="11.25" customHeight="1" x14ac:dyDescent="0.15"/>
  <cols>
    <col min="1" max="1" width="10.7109375" hidden="1" customWidth="1"/>
    <col min="2" max="2" width="16.85546875" hidden="1" customWidth="1"/>
    <col min="3" max="3" width="5.5703125" hidden="1" customWidth="1"/>
    <col min="4" max="4" width="3.7109375" customWidth="1"/>
    <col min="5" max="5" width="7.7109375" customWidth="1"/>
    <col min="6" max="6" width="54.5703125" customWidth="1"/>
    <col min="7" max="7" width="10.42578125" customWidth="1"/>
    <col min="8" max="8" width="40.7109375" hidden="1" customWidth="1"/>
    <col min="9" max="41" width="40.7109375" customWidth="1"/>
    <col min="42" max="42" width="40.7109375" hidden="1" customWidth="1"/>
    <col min="43" max="43" width="9.7109375" customWidth="1"/>
    <col min="44" max="44" width="5.28515625" customWidth="1"/>
    <col min="45" max="49" width="3.7109375" customWidth="1"/>
    <col min="50" max="50" width="10.5703125" customWidth="1"/>
    <col min="51" max="51" width="34.7109375" customWidth="1"/>
    <col min="52" max="52" width="9.42578125" customWidth="1"/>
  </cols>
  <sheetData>
    <row r="1" spans="5:43" ht="11.25" hidden="1" customHeight="1" x14ac:dyDescent="0.15">
      <c r="H1">
        <v>4</v>
      </c>
      <c r="I1">
        <v>4</v>
      </c>
      <c r="J1">
        <v>4</v>
      </c>
      <c r="K1">
        <v>4</v>
      </c>
      <c r="L1">
        <v>4</v>
      </c>
      <c r="M1">
        <v>4</v>
      </c>
      <c r="N1">
        <v>4</v>
      </c>
      <c r="O1">
        <v>4</v>
      </c>
      <c r="P1">
        <v>4</v>
      </c>
      <c r="Q1">
        <v>4</v>
      </c>
      <c r="R1">
        <v>4</v>
      </c>
      <c r="S1">
        <v>4</v>
      </c>
      <c r="T1">
        <v>4</v>
      </c>
      <c r="U1">
        <v>4</v>
      </c>
      <c r="V1">
        <v>4</v>
      </c>
      <c r="W1">
        <v>4</v>
      </c>
      <c r="X1">
        <v>4</v>
      </c>
      <c r="Y1">
        <v>4</v>
      </c>
      <c r="Z1">
        <v>4</v>
      </c>
      <c r="AA1">
        <v>4</v>
      </c>
      <c r="AB1">
        <v>4</v>
      </c>
      <c r="AC1">
        <v>4</v>
      </c>
      <c r="AD1">
        <v>4</v>
      </c>
      <c r="AE1">
        <v>4</v>
      </c>
      <c r="AF1">
        <v>4</v>
      </c>
      <c r="AG1">
        <v>4</v>
      </c>
      <c r="AH1">
        <v>4</v>
      </c>
      <c r="AI1">
        <v>4</v>
      </c>
      <c r="AJ1">
        <v>4</v>
      </c>
      <c r="AK1">
        <v>4</v>
      </c>
      <c r="AL1">
        <v>4</v>
      </c>
      <c r="AM1">
        <v>4</v>
      </c>
      <c r="AN1">
        <v>4</v>
      </c>
      <c r="AO1">
        <v>4</v>
      </c>
      <c r="AP1">
        <v>4</v>
      </c>
    </row>
    <row r="2" spans="5:43" ht="22.5" hidden="1" customHeight="1" x14ac:dyDescent="0.15">
      <c r="G2" t="s">
        <v>1976</v>
      </c>
    </row>
    <row r="3" spans="5:43" ht="11.25" hidden="1" customHeight="1" x14ac:dyDescent="0.15"/>
    <row r="4" spans="5:43" ht="11.25" hidden="1" customHeight="1" x14ac:dyDescent="0.15"/>
    <row r="6" spans="5:43" ht="24" customHeight="1" x14ac:dyDescent="0.15">
      <c r="E6" s="6" t="s">
        <v>3264</v>
      </c>
      <c r="F6" s="6"/>
      <c r="G6" s="6"/>
      <c r="H6" s="6"/>
      <c r="I6" s="6"/>
    </row>
    <row r="7" spans="5:43" ht="24" customHeight="1" x14ac:dyDescent="0.15">
      <c r="E7" s="6" t="str">
        <f>IF(org=0,"Не определено",org)</f>
        <v>КГУП "Примтеплоэнерго"</v>
      </c>
      <c r="F7" s="6"/>
      <c r="G7" s="6"/>
      <c r="H7" s="6"/>
      <c r="I7" s="6"/>
    </row>
    <row r="9" spans="5:43" ht="0.75" customHeight="1" x14ac:dyDescent="0.15">
      <c r="I9" t="s">
        <v>364</v>
      </c>
      <c r="J9" t="s">
        <v>368</v>
      </c>
      <c r="K9" t="s">
        <v>370</v>
      </c>
      <c r="L9" t="s">
        <v>372</v>
      </c>
      <c r="M9" t="s">
        <v>374</v>
      </c>
      <c r="N9" t="s">
        <v>376</v>
      </c>
      <c r="O9" t="s">
        <v>378</v>
      </c>
      <c r="P9" t="s">
        <v>380</v>
      </c>
      <c r="Q9" t="s">
        <v>382</v>
      </c>
      <c r="R9" t="s">
        <v>384</v>
      </c>
      <c r="S9" t="s">
        <v>386</v>
      </c>
      <c r="T9" t="s">
        <v>388</v>
      </c>
      <c r="U9" t="s">
        <v>390</v>
      </c>
      <c r="V9" t="s">
        <v>402</v>
      </c>
      <c r="W9" t="s">
        <v>427</v>
      </c>
      <c r="X9" t="s">
        <v>404</v>
      </c>
      <c r="Y9" t="s">
        <v>406</v>
      </c>
      <c r="Z9" t="s">
        <v>408</v>
      </c>
      <c r="AA9" t="s">
        <v>410</v>
      </c>
      <c r="AB9" t="s">
        <v>412</v>
      </c>
      <c r="AC9" t="s">
        <v>413</v>
      </c>
      <c r="AD9" t="s">
        <v>415</v>
      </c>
      <c r="AE9" t="s">
        <v>416</v>
      </c>
      <c r="AF9" t="s">
        <v>418</v>
      </c>
      <c r="AG9" t="s">
        <v>419</v>
      </c>
      <c r="AH9" t="s">
        <v>392</v>
      </c>
      <c r="AI9" t="s">
        <v>394</v>
      </c>
      <c r="AJ9" t="s">
        <v>396</v>
      </c>
      <c r="AK9" t="s">
        <v>398</v>
      </c>
      <c r="AL9" t="s">
        <v>420</v>
      </c>
      <c r="AM9" t="s">
        <v>421</v>
      </c>
      <c r="AN9" t="s">
        <v>423</v>
      </c>
      <c r="AO9" t="s">
        <v>425</v>
      </c>
    </row>
    <row r="10" spans="5:43" ht="11.25" customHeight="1" x14ac:dyDescent="0.15">
      <c r="F10" s="6" t="s">
        <v>355</v>
      </c>
      <c r="G10" s="6"/>
      <c r="H10" t="str">
        <f t="shared" ref="H10:AP10" si="0">IF(H9="","",INDEX(DIFFERENTIATION_UNMERGE_VD,MATCH(H9,DIFFERENTIATION_ID_DIFF,0)))</f>
        <v/>
      </c>
      <c r="I10" t="str">
        <f t="shared" si="0"/>
        <v>Производство тепловой энергии. Некомбинированная выработка</v>
      </c>
      <c r="J10" t="str">
        <f t="shared" si="0"/>
        <v>Производство тепловой энергии. Некомбинированная выработка</v>
      </c>
      <c r="K10" t="str">
        <f t="shared" si="0"/>
        <v>Производство тепловой энергии. Некомбинированная выработка</v>
      </c>
      <c r="L10" t="str">
        <f t="shared" si="0"/>
        <v>Производство тепловой энергии. Некомбинированная выработка</v>
      </c>
      <c r="M10" t="str">
        <f t="shared" si="0"/>
        <v>Производство тепловой энергии. Некомбинированная выработка</v>
      </c>
      <c r="N10" t="str">
        <f t="shared" si="0"/>
        <v>Производство тепловой энергии. Некомбинированная выработка</v>
      </c>
      <c r="O10" t="str">
        <f t="shared" si="0"/>
        <v>Производство тепловой энергии. Некомбинированная выработка</v>
      </c>
      <c r="P10" t="str">
        <f t="shared" si="0"/>
        <v>Производство тепловой энергии. Некомбинированная выработка</v>
      </c>
      <c r="Q10" t="str">
        <f t="shared" si="0"/>
        <v>Производство тепловой энергии. Некомбинированная выработка</v>
      </c>
      <c r="R10" t="str">
        <f t="shared" si="0"/>
        <v>Производство тепловой энергии. Некомбинированная выработка</v>
      </c>
      <c r="S10" t="str">
        <f t="shared" si="0"/>
        <v>Производство тепловой энергии. Некомбинированная выработка</v>
      </c>
      <c r="T10" t="str">
        <f t="shared" si="0"/>
        <v>Производство тепловой энергии. Некомбинированная выработка</v>
      </c>
      <c r="U10" t="str">
        <f t="shared" si="0"/>
        <v>Производство тепловой энергии. Некомбинированная выработка</v>
      </c>
      <c r="V10" t="str">
        <f t="shared" si="0"/>
        <v>Подключение (технологическое присоединение) к системе теплоснабжения</v>
      </c>
      <c r="W10" t="str">
        <f t="shared" si="0"/>
        <v>Передача. Тепловая энергия</v>
      </c>
      <c r="X10" t="str">
        <f t="shared" si="0"/>
        <v>Подключение (технологическое присоединение) к системе теплоснабжения</v>
      </c>
      <c r="Y10" t="str">
        <f t="shared" si="0"/>
        <v>Подключение (технологическое присоединение) к системе теплоснабжения</v>
      </c>
      <c r="Z10" t="str">
        <f t="shared" si="0"/>
        <v>Подключение (технологическое присоединение) к системе теплоснабжения</v>
      </c>
      <c r="AA10" t="str">
        <f t="shared" si="0"/>
        <v>Подключение (технологическое присоединение) к системе теплоснабжения</v>
      </c>
      <c r="AB10" t="str">
        <f t="shared" si="0"/>
        <v>Подключение (технологическое присоединение) к системе теплоснабжения</v>
      </c>
      <c r="AC10" t="str">
        <f t="shared" si="0"/>
        <v>Подключение (технологическое присоединение) к системе теплоснабжения</v>
      </c>
      <c r="AD10" t="str">
        <f t="shared" si="0"/>
        <v>Подключение (технологическое присоединение) к системе теплоснабжения</v>
      </c>
      <c r="AE10" t="str">
        <f t="shared" si="0"/>
        <v>Подключение (технологическое присоединение) к системе теплоснабжения</v>
      </c>
      <c r="AF10" t="str">
        <f t="shared" si="0"/>
        <v>Подключение (технологическое присоединение) к системе теплоснабжения</v>
      </c>
      <c r="AG10" t="str">
        <f t="shared" si="0"/>
        <v>Подключение (технологическое присоединение) к системе теплоснабжения</v>
      </c>
      <c r="AH10" t="str">
        <f t="shared" si="0"/>
        <v>Производство тепловой энергии. Некомбинированная выработка</v>
      </c>
      <c r="AI10" t="str">
        <f t="shared" si="0"/>
        <v>Производство тепловой энергии. Некомбинированная выработка</v>
      </c>
      <c r="AJ10" t="str">
        <f t="shared" si="0"/>
        <v>Производство тепловой энергии. Некомбинированная выработка</v>
      </c>
      <c r="AK10" t="str">
        <f t="shared" si="0"/>
        <v>Производство тепловой энергии. Некомбинированная выработка</v>
      </c>
      <c r="AL10" t="str">
        <f t="shared" si="0"/>
        <v>Подключение (технологическое присоединение) к системе теплоснабжения</v>
      </c>
      <c r="AM10" t="str">
        <f t="shared" si="0"/>
        <v>Подключение (технологическое присоединение) к системе теплоснабжения</v>
      </c>
      <c r="AN10" t="str">
        <f t="shared" si="0"/>
        <v>Подключение (технологическое присоединение) к системе теплоснабжения</v>
      </c>
      <c r="AO10" t="str">
        <f t="shared" si="0"/>
        <v>Подключение (технологическое присоединение) к системе теплоснабжения</v>
      </c>
      <c r="AP10" t="str">
        <f t="shared" si="0"/>
        <v/>
      </c>
    </row>
    <row r="11" spans="5:43" ht="11.25" customHeight="1" x14ac:dyDescent="0.15">
      <c r="F11" s="6" t="s">
        <v>1680</v>
      </c>
      <c r="G11" s="6"/>
      <c r="H11" t="str">
        <f t="shared" ref="H11:AP11" si="1">IF(H9="","",INDEX(DIFFERENTIATION_UNMERGE_AREA,MATCH(H9,DIFFERENTIATION_ID_DIFF,0)))</f>
        <v/>
      </c>
      <c r="I11" t="str">
        <f t="shared" si="1"/>
        <v>без дифференциации</v>
      </c>
      <c r="J11" t="str">
        <f t="shared" si="1"/>
        <v>без дифференциации</v>
      </c>
      <c r="K11" t="str">
        <f t="shared" si="1"/>
        <v>без дифференциации</v>
      </c>
      <c r="L11" t="str">
        <f t="shared" si="1"/>
        <v>без дифференциации</v>
      </c>
      <c r="M11" t="str">
        <f t="shared" si="1"/>
        <v>без дифференциации</v>
      </c>
      <c r="N11" t="str">
        <f t="shared" si="1"/>
        <v>без дифференциации</v>
      </c>
      <c r="O11" t="str">
        <f t="shared" si="1"/>
        <v>без дифференциации</v>
      </c>
      <c r="P11" t="str">
        <f t="shared" si="1"/>
        <v>без дифференциации</v>
      </c>
      <c r="Q11" t="str">
        <f t="shared" si="1"/>
        <v>без дифференциации</v>
      </c>
      <c r="R11" t="str">
        <f t="shared" si="1"/>
        <v>без дифференциации</v>
      </c>
      <c r="S11" t="str">
        <f t="shared" si="1"/>
        <v>без дифференциации</v>
      </c>
      <c r="T11" t="str">
        <f t="shared" si="1"/>
        <v>без дифференциации</v>
      </c>
      <c r="U11" t="str">
        <f t="shared" si="1"/>
        <v>без дифференциации</v>
      </c>
      <c r="V11" t="str">
        <f t="shared" si="1"/>
        <v>Территория 33</v>
      </c>
      <c r="W11" t="str">
        <f t="shared" si="1"/>
        <v>Территория 1</v>
      </c>
      <c r="X11" t="str">
        <f t="shared" si="1"/>
        <v>Территория 25</v>
      </c>
      <c r="Y11" t="str">
        <f t="shared" si="1"/>
        <v>Территория 10</v>
      </c>
      <c r="Z11" t="str">
        <f t="shared" si="1"/>
        <v>Территория 9</v>
      </c>
      <c r="AA11" t="str">
        <f t="shared" si="1"/>
        <v>Территория 4</v>
      </c>
      <c r="AB11" t="str">
        <f t="shared" si="1"/>
        <v>Территория 21</v>
      </c>
      <c r="AC11" t="str">
        <f t="shared" si="1"/>
        <v>Территория 16</v>
      </c>
      <c r="AD11" t="str">
        <f t="shared" si="1"/>
        <v>Территория 22</v>
      </c>
      <c r="AE11" t="str">
        <f t="shared" si="1"/>
        <v>Территория 7</v>
      </c>
      <c r="AF11" t="str">
        <f t="shared" si="1"/>
        <v>Территория 15</v>
      </c>
      <c r="AG11" t="str">
        <f t="shared" si="1"/>
        <v>Территория 32</v>
      </c>
      <c r="AH11" t="str">
        <f t="shared" si="1"/>
        <v>без дифференциации</v>
      </c>
      <c r="AI11" t="str">
        <f t="shared" si="1"/>
        <v>без дифференциации</v>
      </c>
      <c r="AJ11" t="str">
        <f t="shared" si="1"/>
        <v>без дифференциации</v>
      </c>
      <c r="AK11" t="str">
        <f t="shared" si="1"/>
        <v>без дифференциации</v>
      </c>
      <c r="AL11" t="str">
        <f t="shared" si="1"/>
        <v>Территория 1</v>
      </c>
      <c r="AM11" t="str">
        <f t="shared" si="1"/>
        <v>Территория 17</v>
      </c>
      <c r="AN11" t="str">
        <f t="shared" si="1"/>
        <v>Территория 23</v>
      </c>
      <c r="AO11" t="str">
        <f t="shared" si="1"/>
        <v>Территория 23</v>
      </c>
      <c r="AP11" t="str">
        <f t="shared" si="1"/>
        <v/>
      </c>
    </row>
    <row r="12" spans="5:43" ht="11.25" hidden="1" customHeight="1" x14ac:dyDescent="0.15">
      <c r="F12" s="6" t="s">
        <v>1681</v>
      </c>
      <c r="G12" s="6"/>
      <c r="H12" t="str">
        <f t="shared" ref="H12:AP12" si="2">IF(H9="","",INDEX(DIFFERENTIATION_UNMERGE_SYSTEM,MATCH(H9,DIFFERENTIATION_ID_DIFF,0)))</f>
        <v/>
      </c>
      <c r="I12" t="str">
        <f t="shared" si="2"/>
        <v>Единый тариф на тепловую энергию по Приморскому краю</v>
      </c>
      <c r="J12" t="str">
        <f t="shared" si="2"/>
        <v>Тариф на тепловую энергию по Арсеньевскому ГО</v>
      </c>
      <c r="K12" t="str">
        <f t="shared" si="2"/>
        <v xml:space="preserve">Тариф на тепловую энергию по городскому округгу Большой Камень
</v>
      </c>
      <c r="L12" t="str">
        <f t="shared" si="2"/>
        <v>ГВС-открытая система на территории Артемовский городской округ, Артемовский городской округ (05705000)</v>
      </c>
      <c r="M12" t="str">
        <f t="shared" si="2"/>
        <v>ГВС-открытая система на территории Дальнегорский городской округ, Дальнегорский городской округ (05707000);</v>
      </c>
      <c r="N12" t="str">
        <f t="shared" si="2"/>
        <v xml:space="preserve">ГВС-открытая система на территории Кавалеровский муниципальный район, Кавалеровский муниципальный район (05610000); </v>
      </c>
      <c r="O12" t="str">
        <f t="shared" si="2"/>
        <v xml:space="preserve">ГВС-открытая система на территории Кировский муниципальный район, Горноключевское гороское поселение (05612154); </v>
      </c>
      <c r="P12" t="str">
        <f t="shared" si="2"/>
        <v xml:space="preserve">ГВС-открытая система на территории Михайловский муниципальный район, Новошахтинское городское поселение (05620154); </v>
      </c>
      <c r="Q12" t="str">
        <f t="shared" si="2"/>
        <v xml:space="preserve">ГВС-открытая система на территории Пожарский муниципальный район, Губеровское сельское поселение (05634407); </v>
      </c>
      <c r="R12" t="str">
        <f t="shared" si="2"/>
        <v xml:space="preserve">ГВС-открытая система на территории Пожарский муниципальный район, Нагорненское сельское поселение (05634418); </v>
      </c>
      <c r="S12" t="str">
        <f t="shared" si="2"/>
        <v xml:space="preserve">ГВС-открытая система на территории Хасанский муниципальный район, Зарубинское городское поселение (05648153); </v>
      </c>
      <c r="T12" t="str">
        <f t="shared" si="2"/>
        <v xml:space="preserve">ГВС-открытая система на территории Хасанский муниципальный район, Славянское городское поселение (05648151); </v>
      </c>
      <c r="U12" t="str">
        <f t="shared" si="2"/>
        <v xml:space="preserve">ГВС-открытая система на территории Хорольский муниципальный район, Ярославское городское поселение (05650156); </v>
      </c>
      <c r="V12" t="str">
        <f t="shared" si="2"/>
        <v>Городской округ Большой Камень</v>
      </c>
      <c r="W12" t="str">
        <f t="shared" si="2"/>
        <v xml:space="preserve">Лесозаводский городской округ, Лесозаводский городской округ (05711000);
</v>
      </c>
      <c r="X12" t="str">
        <f t="shared" si="2"/>
        <v>Черниговский муниципальный район</v>
      </c>
      <c r="Y12" t="str">
        <f t="shared" si="2"/>
        <v>Спасское МО</v>
      </c>
      <c r="Z12" t="str">
        <f t="shared" si="2"/>
        <v>Городской округ Спасск Дальний</v>
      </c>
      <c r="AA12" t="str">
        <f t="shared" si="2"/>
        <v>Дальнереченский  городской округ</v>
      </c>
      <c r="AB12" t="str">
        <f t="shared" si="2"/>
        <v>Пожарский муниципальное образование</v>
      </c>
      <c r="AC12" t="str">
        <f t="shared" si="2"/>
        <v>Михайловский муниципальный район</v>
      </c>
      <c r="AD12" t="str">
        <f t="shared" si="2"/>
        <v>Ханкайский муниципальный район</v>
      </c>
      <c r="AE12" t="str">
        <f t="shared" si="2"/>
        <v>Находкинский городской округ</v>
      </c>
      <c r="AF12" t="str">
        <f t="shared" si="2"/>
        <v>Лазовский МО</v>
      </c>
      <c r="AG12" t="str">
        <f t="shared" si="2"/>
        <v>Арсеньевский городской округ</v>
      </c>
      <c r="AH12" t="str">
        <f t="shared" si="2"/>
        <v xml:space="preserve">ГВС-открытая система на территории Шкотовский муниципальный район, Штыковское сельское поселение (05657432); </v>
      </c>
      <c r="AI12" t="str">
        <f t="shared" si="2"/>
        <v>ГВС-открытая система на территории Владивостокского городского округа (05701000).</v>
      </c>
      <c r="AJ12" t="str">
        <f t="shared" si="2"/>
        <v xml:space="preserve">ГВС-открытая система на территории Арсеньевский городской округ, (05703000);
</v>
      </c>
      <c r="AK12" t="str">
        <f t="shared" si="2"/>
        <v xml:space="preserve">ГВС-открытая система на территории городской округ Большой Камень, (05706000);
</v>
      </c>
      <c r="AL12" t="str">
        <f t="shared" si="2"/>
        <v>Артемовский городской округ</v>
      </c>
      <c r="AM12" t="str">
        <f t="shared" si="2"/>
        <v>Надеждинский муниципальный район</v>
      </c>
      <c r="AN12" t="str">
        <f t="shared" si="2"/>
        <v>Приморское городское поселение</v>
      </c>
      <c r="AO12" t="str">
        <f t="shared" si="2"/>
        <v xml:space="preserve">Безверховское сельское поселение </v>
      </c>
      <c r="AP12" t="str">
        <f t="shared" si="2"/>
        <v/>
      </c>
    </row>
    <row r="13" spans="5:43" ht="11.25" customHeight="1" x14ac:dyDescent="0.15">
      <c r="E13" s="6" t="s">
        <v>593</v>
      </c>
      <c r="F13" s="6"/>
      <c r="G13" s="6"/>
    </row>
    <row r="14" spans="5:43" ht="22.5" customHeight="1" x14ac:dyDescent="0.15">
      <c r="E14" t="s">
        <v>75</v>
      </c>
      <c r="F14" t="s">
        <v>595</v>
      </c>
      <c r="G14" t="s">
        <v>1859</v>
      </c>
      <c r="H14" t="s">
        <v>596</v>
      </c>
      <c r="I14" t="s">
        <v>596</v>
      </c>
      <c r="J14" t="s">
        <v>596</v>
      </c>
      <c r="K14" t="s">
        <v>596</v>
      </c>
      <c r="L14" t="s">
        <v>596</v>
      </c>
      <c r="M14" t="s">
        <v>596</v>
      </c>
      <c r="N14" t="s">
        <v>596</v>
      </c>
      <c r="O14" t="s">
        <v>596</v>
      </c>
      <c r="P14" t="s">
        <v>596</v>
      </c>
      <c r="Q14" t="s">
        <v>596</v>
      </c>
      <c r="R14" t="s">
        <v>596</v>
      </c>
      <c r="S14" t="s">
        <v>596</v>
      </c>
      <c r="T14" t="s">
        <v>596</v>
      </c>
      <c r="U14" t="s">
        <v>596</v>
      </c>
      <c r="V14" t="s">
        <v>596</v>
      </c>
      <c r="W14" t="s">
        <v>596</v>
      </c>
      <c r="X14" t="s">
        <v>596</v>
      </c>
      <c r="Y14" t="s">
        <v>596</v>
      </c>
      <c r="Z14" t="s">
        <v>596</v>
      </c>
      <c r="AA14" t="s">
        <v>596</v>
      </c>
      <c r="AB14" t="s">
        <v>596</v>
      </c>
      <c r="AC14" t="s">
        <v>596</v>
      </c>
      <c r="AD14" t="s">
        <v>596</v>
      </c>
      <c r="AE14" t="s">
        <v>596</v>
      </c>
      <c r="AF14" t="s">
        <v>596</v>
      </c>
      <c r="AG14" t="s">
        <v>596</v>
      </c>
      <c r="AH14" t="s">
        <v>596</v>
      </c>
      <c r="AI14" t="s">
        <v>596</v>
      </c>
      <c r="AJ14" t="s">
        <v>596</v>
      </c>
      <c r="AK14" t="s">
        <v>596</v>
      </c>
      <c r="AL14" t="s">
        <v>596</v>
      </c>
      <c r="AM14" t="s">
        <v>596</v>
      </c>
      <c r="AN14" t="s">
        <v>596</v>
      </c>
      <c r="AO14" t="s">
        <v>596</v>
      </c>
      <c r="AP14" t="s">
        <v>596</v>
      </c>
    </row>
    <row r="15" spans="5:43" ht="18.75" customHeight="1" x14ac:dyDescent="0.15">
      <c r="E15" t="s">
        <v>165</v>
      </c>
      <c r="F15" t="s">
        <v>3265</v>
      </c>
      <c r="G15" t="s">
        <v>1976</v>
      </c>
      <c r="AQ15" t="s">
        <v>3231</v>
      </c>
    </row>
    <row r="16" spans="5:43" ht="22.5" customHeight="1" x14ac:dyDescent="0.15">
      <c r="E16" t="s">
        <v>89</v>
      </c>
      <c r="F16" t="s">
        <v>3266</v>
      </c>
      <c r="G16" t="s">
        <v>1976</v>
      </c>
      <c r="H16">
        <f t="shared" ref="H16:AP16" si="3">SUM(H17,H20:H27)</f>
        <v>0</v>
      </c>
      <c r="I16">
        <f t="shared" si="3"/>
        <v>0</v>
      </c>
      <c r="J16">
        <f t="shared" si="3"/>
        <v>0</v>
      </c>
      <c r="K16">
        <f t="shared" si="3"/>
        <v>0</v>
      </c>
      <c r="L16">
        <f t="shared" si="3"/>
        <v>0</v>
      </c>
      <c r="M16">
        <f t="shared" si="3"/>
        <v>0</v>
      </c>
      <c r="N16">
        <f t="shared" si="3"/>
        <v>0</v>
      </c>
      <c r="O16">
        <f t="shared" si="3"/>
        <v>0</v>
      </c>
      <c r="P16">
        <f t="shared" si="3"/>
        <v>0</v>
      </c>
      <c r="Q16">
        <f t="shared" si="3"/>
        <v>0</v>
      </c>
      <c r="R16">
        <f t="shared" si="3"/>
        <v>0</v>
      </c>
      <c r="S16">
        <f t="shared" si="3"/>
        <v>0</v>
      </c>
      <c r="T16">
        <f t="shared" si="3"/>
        <v>0</v>
      </c>
      <c r="U16">
        <f t="shared" si="3"/>
        <v>0</v>
      </c>
      <c r="V16">
        <f t="shared" si="3"/>
        <v>0</v>
      </c>
      <c r="W16">
        <f t="shared" si="3"/>
        <v>0</v>
      </c>
      <c r="X16">
        <f t="shared" si="3"/>
        <v>0</v>
      </c>
      <c r="Y16">
        <f t="shared" si="3"/>
        <v>0</v>
      </c>
      <c r="Z16">
        <f t="shared" si="3"/>
        <v>0</v>
      </c>
      <c r="AA16">
        <f t="shared" si="3"/>
        <v>0</v>
      </c>
      <c r="AB16">
        <f t="shared" si="3"/>
        <v>0</v>
      </c>
      <c r="AC16">
        <f t="shared" si="3"/>
        <v>0</v>
      </c>
      <c r="AD16">
        <f t="shared" si="3"/>
        <v>0</v>
      </c>
      <c r="AE16">
        <f t="shared" si="3"/>
        <v>0</v>
      </c>
      <c r="AF16">
        <f t="shared" si="3"/>
        <v>0</v>
      </c>
      <c r="AG16">
        <f t="shared" si="3"/>
        <v>0</v>
      </c>
      <c r="AH16">
        <f t="shared" si="3"/>
        <v>0</v>
      </c>
      <c r="AI16">
        <f t="shared" si="3"/>
        <v>0</v>
      </c>
      <c r="AJ16">
        <f t="shared" si="3"/>
        <v>0</v>
      </c>
      <c r="AK16">
        <f t="shared" si="3"/>
        <v>0</v>
      </c>
      <c r="AL16">
        <f t="shared" si="3"/>
        <v>0</v>
      </c>
      <c r="AM16">
        <f t="shared" si="3"/>
        <v>0</v>
      </c>
      <c r="AN16">
        <f t="shared" si="3"/>
        <v>0</v>
      </c>
      <c r="AO16">
        <f t="shared" si="3"/>
        <v>0</v>
      </c>
      <c r="AP16">
        <f t="shared" si="3"/>
        <v>0</v>
      </c>
      <c r="AQ16" t="s">
        <v>3231</v>
      </c>
    </row>
    <row r="17" spans="5:42" ht="33.75" customHeight="1" x14ac:dyDescent="0.15">
      <c r="E17" t="s">
        <v>799</v>
      </c>
      <c r="F17" t="s">
        <v>3267</v>
      </c>
      <c r="G17" t="s">
        <v>1976</v>
      </c>
    </row>
    <row r="18" spans="5:42" ht="18.75" customHeight="1" x14ac:dyDescent="0.15">
      <c r="E18" t="s">
        <v>1717</v>
      </c>
      <c r="F18" t="s">
        <v>3268</v>
      </c>
      <c r="G18" t="s">
        <v>1976</v>
      </c>
    </row>
    <row r="19" spans="5:42" ht="22.5" customHeight="1" x14ac:dyDescent="0.15">
      <c r="E19" t="s">
        <v>3235</v>
      </c>
      <c r="F19" t="s">
        <v>3269</v>
      </c>
      <c r="G19" t="s">
        <v>1976</v>
      </c>
    </row>
    <row r="20" spans="5:42" ht="33.75" customHeight="1" x14ac:dyDescent="0.15">
      <c r="E20" t="s">
        <v>600</v>
      </c>
      <c r="F20" t="s">
        <v>3270</v>
      </c>
      <c r="G20" t="s">
        <v>1976</v>
      </c>
    </row>
    <row r="21" spans="5:42" ht="33.75" customHeight="1" x14ac:dyDescent="0.15">
      <c r="E21" t="s">
        <v>603</v>
      </c>
      <c r="F21" t="s">
        <v>3271</v>
      </c>
      <c r="G21" t="s">
        <v>1976</v>
      </c>
    </row>
    <row r="22" spans="5:42" ht="56.25" customHeight="1" x14ac:dyDescent="0.15">
      <c r="E22" t="s">
        <v>808</v>
      </c>
      <c r="F22" t="s">
        <v>3272</v>
      </c>
      <c r="G22" t="s">
        <v>1976</v>
      </c>
    </row>
    <row r="23" spans="5:42" ht="33.75" customHeight="1" x14ac:dyDescent="0.15">
      <c r="E23" t="s">
        <v>810</v>
      </c>
      <c r="F23" t="s">
        <v>3273</v>
      </c>
      <c r="G23" t="s">
        <v>1976</v>
      </c>
    </row>
    <row r="24" spans="5:42" ht="33.75" customHeight="1" x14ac:dyDescent="0.15">
      <c r="E24" t="s">
        <v>824</v>
      </c>
      <c r="F24" t="s">
        <v>3274</v>
      </c>
      <c r="G24" t="s">
        <v>1976</v>
      </c>
    </row>
    <row r="25" spans="5:42" ht="22.5" customHeight="1" x14ac:dyDescent="0.15">
      <c r="E25" t="s">
        <v>835</v>
      </c>
      <c r="F25" t="s">
        <v>3275</v>
      </c>
      <c r="G25" t="s">
        <v>1976</v>
      </c>
    </row>
    <row r="26" spans="5:42" ht="67.5" customHeight="1" x14ac:dyDescent="0.15">
      <c r="E26" t="s">
        <v>846</v>
      </c>
      <c r="F26" t="s">
        <v>3276</v>
      </c>
      <c r="G26" t="s">
        <v>1976</v>
      </c>
    </row>
    <row r="27" spans="5:42" ht="22.5" customHeight="1" x14ac:dyDescent="0.15">
      <c r="E27" t="s">
        <v>854</v>
      </c>
      <c r="F27" t="s">
        <v>3277</v>
      </c>
      <c r="G27" t="s">
        <v>1976</v>
      </c>
      <c r="H27">
        <f t="shared" ref="H27:AP27" si="4">SUM(H28:H29)</f>
        <v>0</v>
      </c>
      <c r="I27">
        <f t="shared" si="4"/>
        <v>0</v>
      </c>
      <c r="J27">
        <f t="shared" si="4"/>
        <v>0</v>
      </c>
      <c r="K27">
        <f t="shared" si="4"/>
        <v>0</v>
      </c>
      <c r="L27">
        <f t="shared" si="4"/>
        <v>0</v>
      </c>
      <c r="M27">
        <f t="shared" si="4"/>
        <v>0</v>
      </c>
      <c r="N27">
        <f t="shared" si="4"/>
        <v>0</v>
      </c>
      <c r="O27">
        <f t="shared" si="4"/>
        <v>0</v>
      </c>
      <c r="P27">
        <f t="shared" si="4"/>
        <v>0</v>
      </c>
      <c r="Q27">
        <f t="shared" si="4"/>
        <v>0</v>
      </c>
      <c r="R27">
        <f t="shared" si="4"/>
        <v>0</v>
      </c>
      <c r="S27">
        <f t="shared" si="4"/>
        <v>0</v>
      </c>
      <c r="T27">
        <f t="shared" si="4"/>
        <v>0</v>
      </c>
      <c r="U27">
        <f t="shared" si="4"/>
        <v>0</v>
      </c>
      <c r="V27">
        <f t="shared" si="4"/>
        <v>0</v>
      </c>
      <c r="W27">
        <f t="shared" si="4"/>
        <v>0</v>
      </c>
      <c r="X27">
        <f t="shared" si="4"/>
        <v>0</v>
      </c>
      <c r="Y27">
        <f t="shared" si="4"/>
        <v>0</v>
      </c>
      <c r="Z27">
        <f t="shared" si="4"/>
        <v>0</v>
      </c>
      <c r="AA27">
        <f t="shared" si="4"/>
        <v>0</v>
      </c>
      <c r="AB27">
        <f t="shared" si="4"/>
        <v>0</v>
      </c>
      <c r="AC27">
        <f t="shared" si="4"/>
        <v>0</v>
      </c>
      <c r="AD27">
        <f t="shared" si="4"/>
        <v>0</v>
      </c>
      <c r="AE27">
        <f t="shared" si="4"/>
        <v>0</v>
      </c>
      <c r="AF27">
        <f t="shared" si="4"/>
        <v>0</v>
      </c>
      <c r="AG27">
        <f t="shared" si="4"/>
        <v>0</v>
      </c>
      <c r="AH27">
        <f t="shared" si="4"/>
        <v>0</v>
      </c>
      <c r="AI27">
        <f t="shared" si="4"/>
        <v>0</v>
      </c>
      <c r="AJ27">
        <f t="shared" si="4"/>
        <v>0</v>
      </c>
      <c r="AK27">
        <f t="shared" si="4"/>
        <v>0</v>
      </c>
      <c r="AL27">
        <f t="shared" si="4"/>
        <v>0</v>
      </c>
      <c r="AM27">
        <f t="shared" si="4"/>
        <v>0</v>
      </c>
      <c r="AN27">
        <f t="shared" si="4"/>
        <v>0</v>
      </c>
      <c r="AO27">
        <f t="shared" si="4"/>
        <v>0</v>
      </c>
      <c r="AP27">
        <f t="shared" si="4"/>
        <v>0</v>
      </c>
    </row>
    <row r="28" spans="5:42" ht="0.75" customHeight="1" x14ac:dyDescent="0.15">
      <c r="E28" t="str">
        <f>E27&amp;".0"</f>
        <v>2.9.0</v>
      </c>
    </row>
    <row r="29" spans="5:42" ht="18.75" customHeight="1" x14ac:dyDescent="0.15">
      <c r="F29" t="s">
        <v>2006</v>
      </c>
    </row>
    <row r="30" spans="5:42" ht="22.5" customHeight="1" x14ac:dyDescent="0.15">
      <c r="E30" t="s">
        <v>77</v>
      </c>
      <c r="F30" t="s">
        <v>3278</v>
      </c>
      <c r="G30" t="s">
        <v>1976</v>
      </c>
    </row>
    <row r="31" spans="5:42" ht="33.75" customHeight="1" x14ac:dyDescent="0.15">
      <c r="E31" t="s">
        <v>78</v>
      </c>
      <c r="F31" t="s">
        <v>3279</v>
      </c>
      <c r="G31" t="s">
        <v>1976</v>
      </c>
    </row>
    <row r="32" spans="5:42" ht="22.5" customHeight="1" x14ac:dyDescent="0.15">
      <c r="E32" t="s">
        <v>907</v>
      </c>
      <c r="F32" t="s">
        <v>3254</v>
      </c>
      <c r="G32" t="s">
        <v>1976</v>
      </c>
    </row>
    <row r="33" spans="3:42" ht="22.5" customHeight="1" x14ac:dyDescent="0.15">
      <c r="E33" t="s">
        <v>926</v>
      </c>
      <c r="F33" t="s">
        <v>3280</v>
      </c>
      <c r="G33" t="s">
        <v>1976</v>
      </c>
    </row>
    <row r="34" spans="3:42" ht="22.5" customHeight="1" x14ac:dyDescent="0.15">
      <c r="E34" t="s">
        <v>1874</v>
      </c>
      <c r="F34" t="s">
        <v>3257</v>
      </c>
      <c r="G34" t="s">
        <v>1976</v>
      </c>
    </row>
    <row r="35" spans="3:42" ht="33.75" customHeight="1" x14ac:dyDescent="0.15">
      <c r="C35" t="s">
        <v>2616</v>
      </c>
      <c r="E35" t="s">
        <v>100</v>
      </c>
      <c r="F35" t="s">
        <v>932</v>
      </c>
      <c r="G35" t="s">
        <v>599</v>
      </c>
    </row>
    <row r="36" spans="3:42" ht="22.5" customHeight="1" x14ac:dyDescent="0.15">
      <c r="E36" t="s">
        <v>79</v>
      </c>
      <c r="F36" t="s">
        <v>3281</v>
      </c>
      <c r="G36" t="s">
        <v>3260</v>
      </c>
    </row>
    <row r="37" spans="3:42" ht="22.5" customHeight="1" x14ac:dyDescent="0.15">
      <c r="E37" t="s">
        <v>80</v>
      </c>
      <c r="F37" t="s">
        <v>3282</v>
      </c>
      <c r="G37" t="s">
        <v>3262</v>
      </c>
    </row>
    <row r="39" spans="3:42" ht="26.25" customHeight="1" x14ac:dyDescent="0.15">
      <c r="E39" t="s">
        <v>1769</v>
      </c>
      <c r="F39" s="6" t="s">
        <v>3283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3:42" ht="37.5" customHeight="1" x14ac:dyDescent="0.15">
      <c r="F40" s="6" t="s">
        <v>3284</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sheetData>
  <sheetProtection formatColumns="0" formatRows="0" insertRows="0" deleteColumns="0" deleteRows="0" sort="0" autoFilter="0"/>
  <mergeCells count="8">
    <mergeCell ref="F39:AP39"/>
    <mergeCell ref="F40:AP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AO34 AP32 AP33 AP34">
      <formula1>-9.99999999999999E+37</formula1>
      <formula2>9.99999999999999E+37</formula2>
    </dataValidation>
    <dataValidation type="decimal" allowBlank="1" showErrorMessage="1" errorTitle="Ошибка" error="Допускается ввод только действительных чисел!" sqref="H30:AO30 AP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O35 AP35">
      <formula1>900</formula1>
    </dataValidation>
    <dataValidation type="decimal" allowBlank="1" showErrorMessage="1" errorTitle="Ошибка" error="Допускается ввод только неотрицательных чисел!" sqref="H31:AO31 H2:AO2 H15:AO15 H17:AO27 H36:AO37 AP2 AP15 AP17 AP18 AP19 AP20 AP21 AP22 AP23 AP24 AP25 AP26 AP27 AP31 AP36 AP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O28 AP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O100"/>
  <sheetViews>
    <sheetView showGridLines="0" topLeftCell="C2" zoomScale="90" workbookViewId="0">
      <selection activeCell="E18" sqref="E18"/>
    </sheetView>
  </sheetViews>
  <sheetFormatPr defaultColWidth="10.5703125" defaultRowHeight="11.25" customHeight="1" x14ac:dyDescent="0.15"/>
  <cols>
    <col min="1" max="1" width="9.140625" hidden="1" customWidth="1"/>
    <col min="2" max="2" width="3.5703125" hidden="1" customWidth="1"/>
    <col min="3" max="3" width="3.7109375" customWidth="1"/>
    <col min="4" max="4" width="7.7109375" customWidth="1"/>
    <col min="5" max="5" width="69.85546875" customWidth="1"/>
    <col min="6" max="6" width="11.140625" customWidth="1"/>
    <col min="7" max="8" width="44" hidden="1" customWidth="1"/>
    <col min="9" max="74" width="44" customWidth="1"/>
    <col min="75" max="75" width="74" customWidth="1"/>
    <col min="76" max="76" width="3.7109375" customWidth="1"/>
  </cols>
  <sheetData>
    <row r="1" spans="1:93" ht="11.25" hidden="1" customHeight="1" x14ac:dyDescent="0.15">
      <c r="G1">
        <v>4</v>
      </c>
      <c r="I1">
        <v>4</v>
      </c>
      <c r="K1">
        <v>4</v>
      </c>
      <c r="M1">
        <v>4</v>
      </c>
      <c r="O1">
        <v>4</v>
      </c>
      <c r="Q1">
        <v>4</v>
      </c>
      <c r="S1">
        <v>4</v>
      </c>
      <c r="U1">
        <v>4</v>
      </c>
      <c r="W1">
        <v>4</v>
      </c>
      <c r="Y1">
        <v>4</v>
      </c>
      <c r="AA1">
        <v>4</v>
      </c>
      <c r="AC1">
        <v>4</v>
      </c>
      <c r="AE1">
        <v>4</v>
      </c>
      <c r="AG1">
        <v>4</v>
      </c>
      <c r="AI1">
        <v>4</v>
      </c>
      <c r="AK1">
        <v>4</v>
      </c>
      <c r="AM1">
        <v>4</v>
      </c>
      <c r="AO1">
        <v>4</v>
      </c>
      <c r="AQ1">
        <v>4</v>
      </c>
      <c r="AS1">
        <v>4</v>
      </c>
      <c r="AU1">
        <v>4</v>
      </c>
      <c r="AW1">
        <v>4</v>
      </c>
      <c r="AY1">
        <v>4</v>
      </c>
      <c r="BA1">
        <v>4</v>
      </c>
      <c r="BC1">
        <v>4</v>
      </c>
      <c r="BE1">
        <v>4</v>
      </c>
      <c r="BG1">
        <v>4</v>
      </c>
      <c r="BI1">
        <v>4</v>
      </c>
      <c r="BK1">
        <v>4</v>
      </c>
      <c r="BM1">
        <v>4</v>
      </c>
      <c r="BO1">
        <v>4</v>
      </c>
      <c r="BQ1">
        <v>4</v>
      </c>
      <c r="BS1">
        <v>4</v>
      </c>
      <c r="BU1">
        <v>4</v>
      </c>
      <c r="BW1">
        <v>5</v>
      </c>
    </row>
    <row r="2" spans="1:93" ht="3" customHeight="1" x14ac:dyDescent="0.15"/>
    <row r="3" spans="1:93" ht="35.25" customHeight="1" x14ac:dyDescent="0.15">
      <c r="D3" s="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5"/>
      <c r="F3" s="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row>
    <row r="4" spans="1:93" ht="20.25" customHeight="1" x14ac:dyDescent="0.15">
      <c r="D4" s="5" t="str">
        <f>IF(org=0,"Не определено",org)</f>
        <v>КГУП "Примтеплоэнерго"</v>
      </c>
      <c r="E4" s="5"/>
      <c r="F4" s="5"/>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row>
    <row r="5" spans="1:93" ht="11.25" customHeight="1" x14ac:dyDescent="0.1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0.75" customHeight="1" x14ac:dyDescent="0.15">
      <c r="D6" s="1"/>
      <c r="E6" s="1"/>
      <c r="F6" s="1"/>
      <c r="G6" s="1"/>
      <c r="H6" s="1"/>
      <c r="I6" s="1" t="s">
        <v>364</v>
      </c>
      <c r="J6" s="1"/>
      <c r="K6" s="1" t="s">
        <v>368</v>
      </c>
      <c r="L6" s="1"/>
      <c r="M6" s="1" t="s">
        <v>370</v>
      </c>
      <c r="N6" s="1"/>
      <c r="O6" s="1" t="s">
        <v>372</v>
      </c>
      <c r="P6" s="1"/>
      <c r="Q6" s="1" t="s">
        <v>374</v>
      </c>
      <c r="R6" s="1"/>
      <c r="S6" s="1" t="s">
        <v>376</v>
      </c>
      <c r="T6" s="1"/>
      <c r="U6" s="1" t="s">
        <v>378</v>
      </c>
      <c r="V6" s="1"/>
      <c r="W6" s="1" t="s">
        <v>380</v>
      </c>
      <c r="X6" s="1"/>
      <c r="Y6" s="1" t="s">
        <v>382</v>
      </c>
      <c r="Z6" s="1"/>
      <c r="AA6" s="1" t="s">
        <v>384</v>
      </c>
      <c r="AB6" s="1"/>
      <c r="AC6" s="1" t="s">
        <v>386</v>
      </c>
      <c r="AD6" s="1"/>
      <c r="AE6" s="1" t="s">
        <v>388</v>
      </c>
      <c r="AF6" s="1"/>
      <c r="AG6" s="1" t="s">
        <v>390</v>
      </c>
      <c r="AH6" s="1"/>
      <c r="AI6" s="1" t="s">
        <v>402</v>
      </c>
      <c r="AJ6" s="1"/>
      <c r="AK6" s="1" t="s">
        <v>427</v>
      </c>
      <c r="AL6" s="1"/>
      <c r="AM6" s="1" t="s">
        <v>404</v>
      </c>
      <c r="AN6" s="1"/>
      <c r="AO6" s="1" t="s">
        <v>406</v>
      </c>
      <c r="AP6" s="1"/>
      <c r="AQ6" s="1" t="s">
        <v>408</v>
      </c>
      <c r="AR6" s="1"/>
      <c r="AS6" s="1" t="s">
        <v>410</v>
      </c>
      <c r="AT6" s="1"/>
      <c r="AU6" s="1" t="s">
        <v>412</v>
      </c>
      <c r="AV6" s="1"/>
      <c r="AW6" s="1" t="s">
        <v>413</v>
      </c>
      <c r="AX6" s="1"/>
      <c r="AY6" s="1" t="s">
        <v>415</v>
      </c>
      <c r="AZ6" s="1"/>
      <c r="BA6" s="1" t="s">
        <v>416</v>
      </c>
      <c r="BB6" s="1"/>
      <c r="BC6" s="1" t="s">
        <v>418</v>
      </c>
      <c r="BD6" s="1"/>
      <c r="BE6" s="1" t="s">
        <v>419</v>
      </c>
      <c r="BF6" s="1"/>
      <c r="BG6" s="1" t="s">
        <v>392</v>
      </c>
      <c r="BH6" s="1"/>
      <c r="BI6" s="1" t="s">
        <v>394</v>
      </c>
      <c r="BJ6" s="1"/>
      <c r="BK6" s="1" t="s">
        <v>396</v>
      </c>
      <c r="BL6" s="1"/>
      <c r="BM6" s="1" t="s">
        <v>398</v>
      </c>
      <c r="BN6" s="1"/>
      <c r="BO6" s="1" t="s">
        <v>420</v>
      </c>
      <c r="BP6" s="1"/>
      <c r="BQ6" s="1" t="s">
        <v>421</v>
      </c>
      <c r="BR6" s="1"/>
      <c r="BS6" s="1" t="s">
        <v>423</v>
      </c>
      <c r="BT6" s="1"/>
      <c r="BU6" s="1" t="s">
        <v>425</v>
      </c>
      <c r="BV6" s="1"/>
      <c r="BW6" s="1"/>
      <c r="BX6" s="1"/>
      <c r="BY6" s="1"/>
      <c r="BZ6" s="1"/>
      <c r="CA6" s="1"/>
      <c r="CB6" s="1"/>
      <c r="CC6" s="1"/>
      <c r="CD6" s="1"/>
      <c r="CE6" s="1"/>
      <c r="CF6" s="1"/>
      <c r="CG6" s="1"/>
      <c r="CH6" s="1"/>
      <c r="CI6" s="1"/>
      <c r="CJ6" s="1"/>
      <c r="CK6" s="1"/>
      <c r="CL6" s="1"/>
      <c r="CM6" s="1"/>
      <c r="CN6" s="1"/>
      <c r="CO6" s="1"/>
    </row>
    <row r="7" spans="1:93" ht="11.25" customHeight="1" x14ac:dyDescent="0.15">
      <c r="D7" s="1"/>
      <c r="E7" s="5" t="s">
        <v>355</v>
      </c>
      <c r="F7" s="5"/>
      <c r="G7" s="5" t="str">
        <f>IF(G6="","",INDEX(DIFFERENTIATION_UNMERGE_VD,MATCH(G6,DIFFERENTIATION_ID_DIFF,0)))</f>
        <v/>
      </c>
      <c r="H7" s="5"/>
      <c r="I7" s="5" t="str">
        <f>IF(I6="","",INDEX(DIFFERENTIATION_UNMERGE_VD,MATCH(I6,DIFFERENTIATION_ID_DIFF,0)))</f>
        <v>Производство тепловой энергии. Некомбинированная выработка</v>
      </c>
      <c r="J7" s="5"/>
      <c r="K7" s="5" t="str">
        <f>IF(K6="","",INDEX(DIFFERENTIATION_UNMERGE_VD,MATCH(K6,DIFFERENTIATION_ID_DIFF,0)))</f>
        <v>Производство тепловой энергии. Некомбинированная выработка</v>
      </c>
      <c r="L7" s="5"/>
      <c r="M7" s="5" t="str">
        <f>IF(M6="","",INDEX(DIFFERENTIATION_UNMERGE_VD,MATCH(M6,DIFFERENTIATION_ID_DIFF,0)))</f>
        <v>Производство тепловой энергии. Некомбинированная выработка</v>
      </c>
      <c r="N7" s="5"/>
      <c r="O7" s="5" t="str">
        <f>IF(O6="","",INDEX(DIFFERENTIATION_UNMERGE_VD,MATCH(O6,DIFFERENTIATION_ID_DIFF,0)))</f>
        <v>Производство тепловой энергии. Некомбинированная выработка</v>
      </c>
      <c r="P7" s="5"/>
      <c r="Q7" s="5" t="str">
        <f>IF(Q6="","",INDEX(DIFFERENTIATION_UNMERGE_VD,MATCH(Q6,DIFFERENTIATION_ID_DIFF,0)))</f>
        <v>Производство тепловой энергии. Некомбинированная выработка</v>
      </c>
      <c r="R7" s="5"/>
      <c r="S7" s="5" t="str">
        <f>IF(S6="","",INDEX(DIFFERENTIATION_UNMERGE_VD,MATCH(S6,DIFFERENTIATION_ID_DIFF,0)))</f>
        <v>Производство тепловой энергии. Некомбинированная выработка</v>
      </c>
      <c r="T7" s="5"/>
      <c r="U7" s="5" t="str">
        <f>IF(U6="","",INDEX(DIFFERENTIATION_UNMERGE_VD,MATCH(U6,DIFFERENTIATION_ID_DIFF,0)))</f>
        <v>Производство тепловой энергии. Некомбинированная выработка</v>
      </c>
      <c r="V7" s="5"/>
      <c r="W7" s="5" t="str">
        <f>IF(W6="","",INDEX(DIFFERENTIATION_UNMERGE_VD,MATCH(W6,DIFFERENTIATION_ID_DIFF,0)))</f>
        <v>Производство тепловой энергии. Некомбинированная выработка</v>
      </c>
      <c r="X7" s="5"/>
      <c r="Y7" s="5" t="str">
        <f>IF(Y6="","",INDEX(DIFFERENTIATION_UNMERGE_VD,MATCH(Y6,DIFFERENTIATION_ID_DIFF,0)))</f>
        <v>Производство тепловой энергии. Некомбинированная выработка</v>
      </c>
      <c r="Z7" s="5"/>
      <c r="AA7" s="5" t="str">
        <f>IF(AA6="","",INDEX(DIFFERENTIATION_UNMERGE_VD,MATCH(AA6,DIFFERENTIATION_ID_DIFF,0)))</f>
        <v>Производство тепловой энергии. Некомбинированная выработка</v>
      </c>
      <c r="AB7" s="5"/>
      <c r="AC7" s="5" t="str">
        <f>IF(AC6="","",INDEX(DIFFERENTIATION_UNMERGE_VD,MATCH(AC6,DIFFERENTIATION_ID_DIFF,0)))</f>
        <v>Производство тепловой энергии. Некомбинированная выработка</v>
      </c>
      <c r="AD7" s="5"/>
      <c r="AE7" s="5" t="str">
        <f>IF(AE6="","",INDEX(DIFFERENTIATION_UNMERGE_VD,MATCH(AE6,DIFFERENTIATION_ID_DIFF,0)))</f>
        <v>Производство тепловой энергии. Некомбинированная выработка</v>
      </c>
      <c r="AF7" s="5"/>
      <c r="AG7" s="5" t="str">
        <f>IF(AG6="","",INDEX(DIFFERENTIATION_UNMERGE_VD,MATCH(AG6,DIFFERENTIATION_ID_DIFF,0)))</f>
        <v>Производство тепловой энергии. Некомбинированная выработка</v>
      </c>
      <c r="AH7" s="5"/>
      <c r="AI7" s="5" t="str">
        <f>IF(AI6="","",INDEX(DIFFERENTIATION_UNMERGE_VD,MATCH(AI6,DIFFERENTIATION_ID_DIFF,0)))</f>
        <v>Подключение (технологическое присоединение) к системе теплоснабжения</v>
      </c>
      <c r="AJ7" s="5"/>
      <c r="AK7" s="5" t="str">
        <f>IF(AK6="","",INDEX(DIFFERENTIATION_UNMERGE_VD,MATCH(AK6,DIFFERENTIATION_ID_DIFF,0)))</f>
        <v>Передача. Тепловая энергия</v>
      </c>
      <c r="AL7" s="5"/>
      <c r="AM7" s="5" t="str">
        <f>IF(AM6="","",INDEX(DIFFERENTIATION_UNMERGE_VD,MATCH(AM6,DIFFERENTIATION_ID_DIFF,0)))</f>
        <v>Подключение (технологическое присоединение) к системе теплоснабжения</v>
      </c>
      <c r="AN7" s="5"/>
      <c r="AO7" s="5" t="str">
        <f>IF(AO6="","",INDEX(DIFFERENTIATION_UNMERGE_VD,MATCH(AO6,DIFFERENTIATION_ID_DIFF,0)))</f>
        <v>Подключение (технологическое присоединение) к системе теплоснабжения</v>
      </c>
      <c r="AP7" s="5"/>
      <c r="AQ7" s="5" t="str">
        <f>IF(AQ6="","",INDEX(DIFFERENTIATION_UNMERGE_VD,MATCH(AQ6,DIFFERENTIATION_ID_DIFF,0)))</f>
        <v>Подключение (технологическое присоединение) к системе теплоснабжения</v>
      </c>
      <c r="AR7" s="5"/>
      <c r="AS7" s="5" t="str">
        <f>IF(AS6="","",INDEX(DIFFERENTIATION_UNMERGE_VD,MATCH(AS6,DIFFERENTIATION_ID_DIFF,0)))</f>
        <v>Подключение (технологическое присоединение) к системе теплоснабжения</v>
      </c>
      <c r="AT7" s="5"/>
      <c r="AU7" s="5" t="str">
        <f>IF(AU6="","",INDEX(DIFFERENTIATION_UNMERGE_VD,MATCH(AU6,DIFFERENTIATION_ID_DIFF,0)))</f>
        <v>Подключение (технологическое присоединение) к системе теплоснабжения</v>
      </c>
      <c r="AV7" s="5"/>
      <c r="AW7" s="5" t="str">
        <f>IF(AW6="","",INDEX(DIFFERENTIATION_UNMERGE_VD,MATCH(AW6,DIFFERENTIATION_ID_DIFF,0)))</f>
        <v>Подключение (технологическое присоединение) к системе теплоснабжения</v>
      </c>
      <c r="AX7" s="5"/>
      <c r="AY7" s="5" t="str">
        <f>IF(AY6="","",INDEX(DIFFERENTIATION_UNMERGE_VD,MATCH(AY6,DIFFERENTIATION_ID_DIFF,0)))</f>
        <v>Подключение (технологическое присоединение) к системе теплоснабжения</v>
      </c>
      <c r="AZ7" s="5"/>
      <c r="BA7" s="5" t="str">
        <f>IF(BA6="","",INDEX(DIFFERENTIATION_UNMERGE_VD,MATCH(BA6,DIFFERENTIATION_ID_DIFF,0)))</f>
        <v>Подключение (технологическое присоединение) к системе теплоснабжения</v>
      </c>
      <c r="BB7" s="5"/>
      <c r="BC7" s="5" t="str">
        <f>IF(BC6="","",INDEX(DIFFERENTIATION_UNMERGE_VD,MATCH(BC6,DIFFERENTIATION_ID_DIFF,0)))</f>
        <v>Подключение (технологическое присоединение) к системе теплоснабжения</v>
      </c>
      <c r="BD7" s="5"/>
      <c r="BE7" s="5" t="str">
        <f>IF(BE6="","",INDEX(DIFFERENTIATION_UNMERGE_VD,MATCH(BE6,DIFFERENTIATION_ID_DIFF,0)))</f>
        <v>Подключение (технологическое присоединение) к системе теплоснабжения</v>
      </c>
      <c r="BF7" s="5"/>
      <c r="BG7" s="5" t="str">
        <f>IF(BG6="","",INDEX(DIFFERENTIATION_UNMERGE_VD,MATCH(BG6,DIFFERENTIATION_ID_DIFF,0)))</f>
        <v>Производство тепловой энергии. Некомбинированная выработка</v>
      </c>
      <c r="BH7" s="5"/>
      <c r="BI7" s="5" t="str">
        <f>IF(BI6="","",INDEX(DIFFERENTIATION_UNMERGE_VD,MATCH(BI6,DIFFERENTIATION_ID_DIFF,0)))</f>
        <v>Производство тепловой энергии. Некомбинированная выработка</v>
      </c>
      <c r="BJ7" s="5"/>
      <c r="BK7" s="5" t="str">
        <f>IF(BK6="","",INDEX(DIFFERENTIATION_UNMERGE_VD,MATCH(BK6,DIFFERENTIATION_ID_DIFF,0)))</f>
        <v>Производство тепловой энергии. Некомбинированная выработка</v>
      </c>
      <c r="BL7" s="5"/>
      <c r="BM7" s="5" t="str">
        <f>IF(BM6="","",INDEX(DIFFERENTIATION_UNMERGE_VD,MATCH(BM6,DIFFERENTIATION_ID_DIFF,0)))</f>
        <v>Производство тепловой энергии. Некомбинированная выработка</v>
      </c>
      <c r="BN7" s="5"/>
      <c r="BO7" s="5" t="str">
        <f>IF(BO6="","",INDEX(DIFFERENTIATION_UNMERGE_VD,MATCH(BO6,DIFFERENTIATION_ID_DIFF,0)))</f>
        <v>Подключение (технологическое присоединение) к системе теплоснабжения</v>
      </c>
      <c r="BP7" s="5"/>
      <c r="BQ7" s="5" t="str">
        <f>IF(BQ6="","",INDEX(DIFFERENTIATION_UNMERGE_VD,MATCH(BQ6,DIFFERENTIATION_ID_DIFF,0)))</f>
        <v>Подключение (технологическое присоединение) к системе теплоснабжения</v>
      </c>
      <c r="BR7" s="5"/>
      <c r="BS7" s="5" t="str">
        <f>IF(BS6="","",INDEX(DIFFERENTIATION_UNMERGE_VD,MATCH(BS6,DIFFERENTIATION_ID_DIFF,0)))</f>
        <v>Подключение (технологическое присоединение) к системе теплоснабжения</v>
      </c>
      <c r="BT7" s="5"/>
      <c r="BU7" s="5" t="str">
        <f>IF(BU6="","",INDEX(DIFFERENTIATION_UNMERGE_VD,MATCH(BU6,DIFFERENTIATION_ID_DIFF,0)))</f>
        <v>Подключение (технологическое присоединение) к системе теплоснабжения</v>
      </c>
      <c r="BV7" s="5"/>
      <c r="BW7" s="5"/>
      <c r="BX7" s="1"/>
      <c r="BY7" s="1"/>
      <c r="BZ7" s="1"/>
      <c r="CA7" s="1"/>
      <c r="CB7" s="1"/>
      <c r="CC7" s="1"/>
      <c r="CD7" s="1"/>
      <c r="CE7" s="1"/>
      <c r="CF7" s="1"/>
      <c r="CG7" s="1"/>
      <c r="CH7" s="1"/>
      <c r="CI7" s="1"/>
      <c r="CJ7" s="1"/>
      <c r="CK7" s="1"/>
      <c r="CL7" s="1"/>
      <c r="CM7" s="1"/>
      <c r="CN7" s="1"/>
      <c r="CO7" s="1"/>
    </row>
    <row r="8" spans="1:93" ht="11.25" customHeight="1" x14ac:dyDescent="0.15">
      <c r="D8" s="1"/>
      <c r="E8" s="5" t="s">
        <v>1680</v>
      </c>
      <c r="F8" s="5"/>
      <c r="G8" s="5" t="str">
        <f>IF(G6="","",INDEX(DIFFERENTIATION_UNMERGE_AREA,MATCH(G6,DIFFERENTIATION_ID_DIFF,0)))</f>
        <v/>
      </c>
      <c r="H8" s="5"/>
      <c r="I8" s="5" t="str">
        <f>IF(I6="","",INDEX(DIFFERENTIATION_UNMERGE_AREA,MATCH(I6,DIFFERENTIATION_ID_DIFF,0)))</f>
        <v>без дифференциации</v>
      </c>
      <c r="J8" s="5"/>
      <c r="K8" s="5" t="str">
        <f>IF(K6="","",INDEX(DIFFERENTIATION_UNMERGE_AREA,MATCH(K6,DIFFERENTIATION_ID_DIFF,0)))</f>
        <v>без дифференциации</v>
      </c>
      <c r="L8" s="5"/>
      <c r="M8" s="5" t="str">
        <f>IF(M6="","",INDEX(DIFFERENTIATION_UNMERGE_AREA,MATCH(M6,DIFFERENTIATION_ID_DIFF,0)))</f>
        <v>без дифференциации</v>
      </c>
      <c r="N8" s="5"/>
      <c r="O8" s="5" t="str">
        <f>IF(O6="","",INDEX(DIFFERENTIATION_UNMERGE_AREA,MATCH(O6,DIFFERENTIATION_ID_DIFF,0)))</f>
        <v>без дифференциации</v>
      </c>
      <c r="P8" s="5"/>
      <c r="Q8" s="5" t="str">
        <f>IF(Q6="","",INDEX(DIFFERENTIATION_UNMERGE_AREA,MATCH(Q6,DIFFERENTIATION_ID_DIFF,0)))</f>
        <v>без дифференциации</v>
      </c>
      <c r="R8" s="5"/>
      <c r="S8" s="5" t="str">
        <f>IF(S6="","",INDEX(DIFFERENTIATION_UNMERGE_AREA,MATCH(S6,DIFFERENTIATION_ID_DIFF,0)))</f>
        <v>без дифференциации</v>
      </c>
      <c r="T8" s="5"/>
      <c r="U8" s="5" t="str">
        <f>IF(U6="","",INDEX(DIFFERENTIATION_UNMERGE_AREA,MATCH(U6,DIFFERENTIATION_ID_DIFF,0)))</f>
        <v>без дифференциации</v>
      </c>
      <c r="V8" s="5"/>
      <c r="W8" s="5" t="str">
        <f>IF(W6="","",INDEX(DIFFERENTIATION_UNMERGE_AREA,MATCH(W6,DIFFERENTIATION_ID_DIFF,0)))</f>
        <v>без дифференциации</v>
      </c>
      <c r="X8" s="5"/>
      <c r="Y8" s="5" t="str">
        <f>IF(Y6="","",INDEX(DIFFERENTIATION_UNMERGE_AREA,MATCH(Y6,DIFFERENTIATION_ID_DIFF,0)))</f>
        <v>без дифференциации</v>
      </c>
      <c r="Z8" s="5"/>
      <c r="AA8" s="5" t="str">
        <f>IF(AA6="","",INDEX(DIFFERENTIATION_UNMERGE_AREA,MATCH(AA6,DIFFERENTIATION_ID_DIFF,0)))</f>
        <v>без дифференциации</v>
      </c>
      <c r="AB8" s="5"/>
      <c r="AC8" s="5" t="str">
        <f>IF(AC6="","",INDEX(DIFFERENTIATION_UNMERGE_AREA,MATCH(AC6,DIFFERENTIATION_ID_DIFF,0)))</f>
        <v>без дифференциации</v>
      </c>
      <c r="AD8" s="5"/>
      <c r="AE8" s="5" t="str">
        <f>IF(AE6="","",INDEX(DIFFERENTIATION_UNMERGE_AREA,MATCH(AE6,DIFFERENTIATION_ID_DIFF,0)))</f>
        <v>без дифференциации</v>
      </c>
      <c r="AF8" s="5"/>
      <c r="AG8" s="5" t="str">
        <f>IF(AG6="","",INDEX(DIFFERENTIATION_UNMERGE_AREA,MATCH(AG6,DIFFERENTIATION_ID_DIFF,0)))</f>
        <v>без дифференциации</v>
      </c>
      <c r="AH8" s="5"/>
      <c r="AI8" s="5" t="str">
        <f>IF(AI6="","",INDEX(DIFFERENTIATION_UNMERGE_AREA,MATCH(AI6,DIFFERENTIATION_ID_DIFF,0)))</f>
        <v>Территория 33</v>
      </c>
      <c r="AJ8" s="5"/>
      <c r="AK8" s="5" t="str">
        <f>IF(AK6="","",INDEX(DIFFERENTIATION_UNMERGE_AREA,MATCH(AK6,DIFFERENTIATION_ID_DIFF,0)))</f>
        <v>Территория 1</v>
      </c>
      <c r="AL8" s="5"/>
      <c r="AM8" s="5" t="str">
        <f>IF(AM6="","",INDEX(DIFFERENTIATION_UNMERGE_AREA,MATCH(AM6,DIFFERENTIATION_ID_DIFF,0)))</f>
        <v>Территория 25</v>
      </c>
      <c r="AN8" s="5"/>
      <c r="AO8" s="5" t="str">
        <f>IF(AO6="","",INDEX(DIFFERENTIATION_UNMERGE_AREA,MATCH(AO6,DIFFERENTIATION_ID_DIFF,0)))</f>
        <v>Территория 10</v>
      </c>
      <c r="AP8" s="5"/>
      <c r="AQ8" s="5" t="str">
        <f>IF(AQ6="","",INDEX(DIFFERENTIATION_UNMERGE_AREA,MATCH(AQ6,DIFFERENTIATION_ID_DIFF,0)))</f>
        <v>Территория 9</v>
      </c>
      <c r="AR8" s="5"/>
      <c r="AS8" s="5" t="str">
        <f>IF(AS6="","",INDEX(DIFFERENTIATION_UNMERGE_AREA,MATCH(AS6,DIFFERENTIATION_ID_DIFF,0)))</f>
        <v>Территория 4</v>
      </c>
      <c r="AT8" s="5"/>
      <c r="AU8" s="5" t="str">
        <f>IF(AU6="","",INDEX(DIFFERENTIATION_UNMERGE_AREA,MATCH(AU6,DIFFERENTIATION_ID_DIFF,0)))</f>
        <v>Территория 21</v>
      </c>
      <c r="AV8" s="5"/>
      <c r="AW8" s="5" t="str">
        <f>IF(AW6="","",INDEX(DIFFERENTIATION_UNMERGE_AREA,MATCH(AW6,DIFFERENTIATION_ID_DIFF,0)))</f>
        <v>Территория 16</v>
      </c>
      <c r="AX8" s="5"/>
      <c r="AY8" s="5" t="str">
        <f>IF(AY6="","",INDEX(DIFFERENTIATION_UNMERGE_AREA,MATCH(AY6,DIFFERENTIATION_ID_DIFF,0)))</f>
        <v>Территория 22</v>
      </c>
      <c r="AZ8" s="5"/>
      <c r="BA8" s="5" t="str">
        <f>IF(BA6="","",INDEX(DIFFERENTIATION_UNMERGE_AREA,MATCH(BA6,DIFFERENTIATION_ID_DIFF,0)))</f>
        <v>Территория 7</v>
      </c>
      <c r="BB8" s="5"/>
      <c r="BC8" s="5" t="str">
        <f>IF(BC6="","",INDEX(DIFFERENTIATION_UNMERGE_AREA,MATCH(BC6,DIFFERENTIATION_ID_DIFF,0)))</f>
        <v>Территория 15</v>
      </c>
      <c r="BD8" s="5"/>
      <c r="BE8" s="5" t="str">
        <f>IF(BE6="","",INDEX(DIFFERENTIATION_UNMERGE_AREA,MATCH(BE6,DIFFERENTIATION_ID_DIFF,0)))</f>
        <v>Территория 32</v>
      </c>
      <c r="BF8" s="5"/>
      <c r="BG8" s="5" t="str">
        <f>IF(BG6="","",INDEX(DIFFERENTIATION_UNMERGE_AREA,MATCH(BG6,DIFFERENTIATION_ID_DIFF,0)))</f>
        <v>без дифференциации</v>
      </c>
      <c r="BH8" s="5"/>
      <c r="BI8" s="5" t="str">
        <f>IF(BI6="","",INDEX(DIFFERENTIATION_UNMERGE_AREA,MATCH(BI6,DIFFERENTIATION_ID_DIFF,0)))</f>
        <v>без дифференциации</v>
      </c>
      <c r="BJ8" s="5"/>
      <c r="BK8" s="5" t="str">
        <f>IF(BK6="","",INDEX(DIFFERENTIATION_UNMERGE_AREA,MATCH(BK6,DIFFERENTIATION_ID_DIFF,0)))</f>
        <v>без дифференциации</v>
      </c>
      <c r="BL8" s="5"/>
      <c r="BM8" s="5" t="str">
        <f>IF(BM6="","",INDEX(DIFFERENTIATION_UNMERGE_AREA,MATCH(BM6,DIFFERENTIATION_ID_DIFF,0)))</f>
        <v>без дифференциации</v>
      </c>
      <c r="BN8" s="5"/>
      <c r="BO8" s="5" t="str">
        <f>IF(BO6="","",INDEX(DIFFERENTIATION_UNMERGE_AREA,MATCH(BO6,DIFFERENTIATION_ID_DIFF,0)))</f>
        <v>Территория 1</v>
      </c>
      <c r="BP8" s="5"/>
      <c r="BQ8" s="5" t="str">
        <f>IF(BQ6="","",INDEX(DIFFERENTIATION_UNMERGE_AREA,MATCH(BQ6,DIFFERENTIATION_ID_DIFF,0)))</f>
        <v>Территория 17</v>
      </c>
      <c r="BR8" s="5"/>
      <c r="BS8" s="5" t="str">
        <f>IF(BS6="","",INDEX(DIFFERENTIATION_UNMERGE_AREA,MATCH(BS6,DIFFERENTIATION_ID_DIFF,0)))</f>
        <v>Территория 23</v>
      </c>
      <c r="BT8" s="5"/>
      <c r="BU8" s="5" t="str">
        <f>IF(BU6="","",INDEX(DIFFERENTIATION_UNMERGE_AREA,MATCH(BU6,DIFFERENTIATION_ID_DIFF,0)))</f>
        <v>Территория 23</v>
      </c>
      <c r="BV8" s="5"/>
      <c r="BW8" s="5"/>
      <c r="BX8" s="1"/>
      <c r="BY8" s="1"/>
      <c r="BZ8" s="1"/>
      <c r="CA8" s="1"/>
      <c r="CB8" s="1"/>
      <c r="CC8" s="1"/>
      <c r="CD8" s="1"/>
      <c r="CE8" s="1"/>
      <c r="CF8" s="1"/>
      <c r="CG8" s="1"/>
      <c r="CH8" s="1"/>
      <c r="CI8" s="1"/>
      <c r="CJ8" s="1"/>
      <c r="CK8" s="1"/>
      <c r="CL8" s="1"/>
      <c r="CM8" s="1"/>
      <c r="CN8" s="1"/>
      <c r="CO8" s="1"/>
    </row>
    <row r="9" spans="1:93" ht="11.25" customHeight="1" x14ac:dyDescent="0.15">
      <c r="D9" s="1"/>
      <c r="E9" s="5" t="s">
        <v>1681</v>
      </c>
      <c r="F9" s="5"/>
      <c r="G9" s="5" t="str">
        <f>IF(G6="","",INDEX(DIFFERENTIATION_UNMERGE_SYSTEM,MATCH(G6,DIFFERENTIATION_ID_DIFF,0)))</f>
        <v/>
      </c>
      <c r="H9" s="5"/>
      <c r="I9" s="5" t="str">
        <f>IF(I6="","",INDEX(DIFFERENTIATION_UNMERGE_SYSTEM,MATCH(I6,DIFFERENTIATION_ID_DIFF,0)))</f>
        <v>Единый тариф на тепловую энергию по Приморскому краю</v>
      </c>
      <c r="J9" s="5"/>
      <c r="K9" s="5" t="str">
        <f>IF(K6="","",INDEX(DIFFERENTIATION_UNMERGE_SYSTEM,MATCH(K6,DIFFERENTIATION_ID_DIFF,0)))</f>
        <v>Тариф на тепловую энергию по Арсеньевскому ГО</v>
      </c>
      <c r="L9" s="5"/>
      <c r="M9" s="5" t="str">
        <f>IF(M6="","",INDEX(DIFFERENTIATION_UNMERGE_SYSTEM,MATCH(M6,DIFFERENTIATION_ID_DIFF,0)))</f>
        <v xml:space="preserve">Тариф на тепловую энергию по городскому округгу Большой Камень
</v>
      </c>
      <c r="N9" s="5"/>
      <c r="O9" s="5" t="str">
        <f>IF(O6="","",INDEX(DIFFERENTIATION_UNMERGE_SYSTEM,MATCH(O6,DIFFERENTIATION_ID_DIFF,0)))</f>
        <v>ГВС-открытая система на территории Артемовский городской округ, Артемовский городской округ (05705000)</v>
      </c>
      <c r="P9" s="5"/>
      <c r="Q9" s="5" t="str">
        <f>IF(Q6="","",INDEX(DIFFERENTIATION_UNMERGE_SYSTEM,MATCH(Q6,DIFFERENTIATION_ID_DIFF,0)))</f>
        <v>ГВС-открытая система на территории Дальнегорский городской округ, Дальнегорский городской округ (05707000);</v>
      </c>
      <c r="R9" s="5"/>
      <c r="S9" s="5" t="str">
        <f>IF(S6="","",INDEX(DIFFERENTIATION_UNMERGE_SYSTEM,MATCH(S6,DIFFERENTIATION_ID_DIFF,0)))</f>
        <v xml:space="preserve">ГВС-открытая система на территории Кавалеровский муниципальный район, Кавалеровский муниципальный район (05610000); </v>
      </c>
      <c r="T9" s="5"/>
      <c r="U9" s="5" t="str">
        <f>IF(U6="","",INDEX(DIFFERENTIATION_UNMERGE_SYSTEM,MATCH(U6,DIFFERENTIATION_ID_DIFF,0)))</f>
        <v xml:space="preserve">ГВС-открытая система на территории Кировский муниципальный район, Горноключевское гороское поселение (05612154); </v>
      </c>
      <c r="V9" s="5"/>
      <c r="W9" s="5" t="str">
        <f>IF(W6="","",INDEX(DIFFERENTIATION_UNMERGE_SYSTEM,MATCH(W6,DIFFERENTIATION_ID_DIFF,0)))</f>
        <v xml:space="preserve">ГВС-открытая система на территории Михайловский муниципальный район, Новошахтинское городское поселение (05620154); </v>
      </c>
      <c r="X9" s="5"/>
      <c r="Y9" s="5" t="str">
        <f>IF(Y6="","",INDEX(DIFFERENTIATION_UNMERGE_SYSTEM,MATCH(Y6,DIFFERENTIATION_ID_DIFF,0)))</f>
        <v xml:space="preserve">ГВС-открытая система на территории Пожарский муниципальный район, Губеровское сельское поселение (05634407); </v>
      </c>
      <c r="Z9" s="5"/>
      <c r="AA9" s="5" t="str">
        <f>IF(AA6="","",INDEX(DIFFERENTIATION_UNMERGE_SYSTEM,MATCH(AA6,DIFFERENTIATION_ID_DIFF,0)))</f>
        <v xml:space="preserve">ГВС-открытая система на территории Пожарский муниципальный район, Нагорненское сельское поселение (05634418); </v>
      </c>
      <c r="AB9" s="5"/>
      <c r="AC9" s="5" t="str">
        <f>IF(AC6="","",INDEX(DIFFERENTIATION_UNMERGE_SYSTEM,MATCH(AC6,DIFFERENTIATION_ID_DIFF,0)))</f>
        <v xml:space="preserve">ГВС-открытая система на территории Хасанский муниципальный район, Зарубинское городское поселение (05648153); </v>
      </c>
      <c r="AD9" s="5"/>
      <c r="AE9" s="5" t="str">
        <f>IF(AE6="","",INDEX(DIFFERENTIATION_UNMERGE_SYSTEM,MATCH(AE6,DIFFERENTIATION_ID_DIFF,0)))</f>
        <v xml:space="preserve">ГВС-открытая система на территории Хасанский муниципальный район, Славянское городское поселение (05648151); </v>
      </c>
      <c r="AF9" s="5"/>
      <c r="AG9" s="5" t="str">
        <f>IF(AG6="","",INDEX(DIFFERENTIATION_UNMERGE_SYSTEM,MATCH(AG6,DIFFERENTIATION_ID_DIFF,0)))</f>
        <v xml:space="preserve">ГВС-открытая система на территории Хорольский муниципальный район, Ярославское городское поселение (05650156); </v>
      </c>
      <c r="AH9" s="5"/>
      <c r="AI9" s="5" t="str">
        <f>IF(AI6="","",INDEX(DIFFERENTIATION_UNMERGE_SYSTEM,MATCH(AI6,DIFFERENTIATION_ID_DIFF,0)))</f>
        <v>Городской округ Большой Камень</v>
      </c>
      <c r="AJ9" s="5"/>
      <c r="AK9" s="5" t="str">
        <f>IF(AK6="","",INDEX(DIFFERENTIATION_UNMERGE_SYSTEM,MATCH(AK6,DIFFERENTIATION_ID_DIFF,0)))</f>
        <v xml:space="preserve">Лесозаводский городской округ, Лесозаводский городской округ (05711000);
</v>
      </c>
      <c r="AL9" s="5"/>
      <c r="AM9" s="5" t="str">
        <f>IF(AM6="","",INDEX(DIFFERENTIATION_UNMERGE_SYSTEM,MATCH(AM6,DIFFERENTIATION_ID_DIFF,0)))</f>
        <v>Черниговский муниципальный район</v>
      </c>
      <c r="AN9" s="5"/>
      <c r="AO9" s="5" t="str">
        <f>IF(AO6="","",INDEX(DIFFERENTIATION_UNMERGE_SYSTEM,MATCH(AO6,DIFFERENTIATION_ID_DIFF,0)))</f>
        <v>Спасское МО</v>
      </c>
      <c r="AP9" s="5"/>
      <c r="AQ9" s="5" t="str">
        <f>IF(AQ6="","",INDEX(DIFFERENTIATION_UNMERGE_SYSTEM,MATCH(AQ6,DIFFERENTIATION_ID_DIFF,0)))</f>
        <v>Городской округ Спасск Дальний</v>
      </c>
      <c r="AR9" s="5"/>
      <c r="AS9" s="5" t="str">
        <f>IF(AS6="","",INDEX(DIFFERENTIATION_UNMERGE_SYSTEM,MATCH(AS6,DIFFERENTIATION_ID_DIFF,0)))</f>
        <v>Дальнереченский  городской округ</v>
      </c>
      <c r="AT9" s="5"/>
      <c r="AU9" s="5" t="str">
        <f>IF(AU6="","",INDEX(DIFFERENTIATION_UNMERGE_SYSTEM,MATCH(AU6,DIFFERENTIATION_ID_DIFF,0)))</f>
        <v>Пожарский муниципальное образование</v>
      </c>
      <c r="AV9" s="5"/>
      <c r="AW9" s="5" t="str">
        <f>IF(AW6="","",INDEX(DIFFERENTIATION_UNMERGE_SYSTEM,MATCH(AW6,DIFFERENTIATION_ID_DIFF,0)))</f>
        <v>Михайловский муниципальный район</v>
      </c>
      <c r="AX9" s="5"/>
      <c r="AY9" s="5" t="str">
        <f>IF(AY6="","",INDEX(DIFFERENTIATION_UNMERGE_SYSTEM,MATCH(AY6,DIFFERENTIATION_ID_DIFF,0)))</f>
        <v>Ханкайский муниципальный район</v>
      </c>
      <c r="AZ9" s="5"/>
      <c r="BA9" s="5" t="str">
        <f>IF(BA6="","",INDEX(DIFFERENTIATION_UNMERGE_SYSTEM,MATCH(BA6,DIFFERENTIATION_ID_DIFF,0)))</f>
        <v>Находкинский городской округ</v>
      </c>
      <c r="BB9" s="5"/>
      <c r="BC9" s="5" t="str">
        <f>IF(BC6="","",INDEX(DIFFERENTIATION_UNMERGE_SYSTEM,MATCH(BC6,DIFFERENTIATION_ID_DIFF,0)))</f>
        <v>Лазовский МО</v>
      </c>
      <c r="BD9" s="5"/>
      <c r="BE9" s="5" t="str">
        <f>IF(BE6="","",INDEX(DIFFERENTIATION_UNMERGE_SYSTEM,MATCH(BE6,DIFFERENTIATION_ID_DIFF,0)))</f>
        <v>Арсеньевский городской округ</v>
      </c>
      <c r="BF9" s="5"/>
      <c r="BG9" s="5" t="str">
        <f>IF(BG6="","",INDEX(DIFFERENTIATION_UNMERGE_SYSTEM,MATCH(BG6,DIFFERENTIATION_ID_DIFF,0)))</f>
        <v xml:space="preserve">ГВС-открытая система на территории Шкотовский муниципальный район, Штыковское сельское поселение (05657432); </v>
      </c>
      <c r="BH9" s="5"/>
      <c r="BI9" s="5" t="str">
        <f>IF(BI6="","",INDEX(DIFFERENTIATION_UNMERGE_SYSTEM,MATCH(BI6,DIFFERENTIATION_ID_DIFF,0)))</f>
        <v>ГВС-открытая система на территории Владивостокского городского округа (05701000).</v>
      </c>
      <c r="BJ9" s="5"/>
      <c r="BK9" s="5" t="str">
        <f>IF(BK6="","",INDEX(DIFFERENTIATION_UNMERGE_SYSTEM,MATCH(BK6,DIFFERENTIATION_ID_DIFF,0)))</f>
        <v xml:space="preserve">ГВС-открытая система на территории Арсеньевский городской округ, (05703000);
</v>
      </c>
      <c r="BL9" s="5"/>
      <c r="BM9" s="5" t="str">
        <f>IF(BM6="","",INDEX(DIFFERENTIATION_UNMERGE_SYSTEM,MATCH(BM6,DIFFERENTIATION_ID_DIFF,0)))</f>
        <v xml:space="preserve">ГВС-открытая система на территории городской округ Большой Камень, (05706000);
</v>
      </c>
      <c r="BN9" s="5"/>
      <c r="BO9" s="5" t="str">
        <f>IF(BO6="","",INDEX(DIFFERENTIATION_UNMERGE_SYSTEM,MATCH(BO6,DIFFERENTIATION_ID_DIFF,0)))</f>
        <v>Артемовский городской округ</v>
      </c>
      <c r="BP9" s="5"/>
      <c r="BQ9" s="5" t="str">
        <f>IF(BQ6="","",INDEX(DIFFERENTIATION_UNMERGE_SYSTEM,MATCH(BQ6,DIFFERENTIATION_ID_DIFF,0)))</f>
        <v>Надеждинский муниципальный район</v>
      </c>
      <c r="BR9" s="5"/>
      <c r="BS9" s="5" t="str">
        <f>IF(BS6="","",INDEX(DIFFERENTIATION_UNMERGE_SYSTEM,MATCH(BS6,DIFFERENTIATION_ID_DIFF,0)))</f>
        <v>Приморское городское поселение</v>
      </c>
      <c r="BT9" s="5"/>
      <c r="BU9" s="5" t="str">
        <f>IF(BU6="","",INDEX(DIFFERENTIATION_UNMERGE_SYSTEM,MATCH(BU6,DIFFERENTIATION_ID_DIFF,0)))</f>
        <v xml:space="preserve">Безверховское сельское поселение </v>
      </c>
      <c r="BV9" s="5"/>
      <c r="BW9" s="5"/>
      <c r="BX9" s="1"/>
      <c r="BY9" s="1"/>
      <c r="BZ9" s="1"/>
      <c r="CA9" s="1"/>
      <c r="CB9" s="1"/>
      <c r="CC9" s="1"/>
      <c r="CD9" s="1"/>
      <c r="CE9" s="1"/>
      <c r="CF9" s="1"/>
      <c r="CG9" s="1"/>
      <c r="CH9" s="1"/>
      <c r="CI9" s="1"/>
      <c r="CJ9" s="1"/>
      <c r="CK9" s="1"/>
      <c r="CL9" s="1"/>
      <c r="CM9" s="1"/>
      <c r="CN9" s="1"/>
      <c r="CO9" s="1"/>
    </row>
    <row r="10" spans="1:93" ht="11.25" customHeight="1" x14ac:dyDescent="0.15">
      <c r="D10" s="5" t="s">
        <v>593</v>
      </c>
      <c r="E10" s="5"/>
      <c r="F10" s="5"/>
      <c r="G10" s="5"/>
      <c r="H10" s="5"/>
      <c r="I10" s="5"/>
      <c r="J10" s="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5"/>
      <c r="BX10" s="1"/>
      <c r="BY10" s="1"/>
      <c r="BZ10" s="1"/>
      <c r="CA10" s="1"/>
      <c r="CB10" s="1"/>
      <c r="CC10" s="1"/>
      <c r="CD10" s="1"/>
      <c r="CE10" s="1"/>
      <c r="CF10" s="1"/>
      <c r="CG10" s="1"/>
      <c r="CH10" s="1"/>
      <c r="CI10" s="1"/>
      <c r="CJ10" s="1"/>
      <c r="CK10" s="1"/>
      <c r="CL10" s="1"/>
      <c r="CM10" s="1"/>
      <c r="CN10" s="1"/>
      <c r="CO10" s="1"/>
    </row>
    <row r="11" spans="1:93" ht="22.5" customHeight="1" x14ac:dyDescent="0.15">
      <c r="A11" s="6"/>
      <c r="B11" s="6"/>
      <c r="D11" s="1" t="s">
        <v>75</v>
      </c>
      <c r="E11" s="1" t="s">
        <v>3285</v>
      </c>
      <c r="F11" s="1" t="s">
        <v>1859</v>
      </c>
      <c r="G11" s="1" t="s">
        <v>596</v>
      </c>
      <c r="H11" s="1" t="s">
        <v>685</v>
      </c>
      <c r="I11" s="1" t="s">
        <v>596</v>
      </c>
      <c r="J11" s="1" t="s">
        <v>685</v>
      </c>
      <c r="K11" s="1" t="s">
        <v>596</v>
      </c>
      <c r="L11" s="1" t="s">
        <v>685</v>
      </c>
      <c r="M11" s="1" t="s">
        <v>596</v>
      </c>
      <c r="N11" s="1" t="s">
        <v>685</v>
      </c>
      <c r="O11" s="1" t="s">
        <v>596</v>
      </c>
      <c r="P11" s="1" t="s">
        <v>685</v>
      </c>
      <c r="Q11" s="1" t="s">
        <v>596</v>
      </c>
      <c r="R11" s="1" t="s">
        <v>685</v>
      </c>
      <c r="S11" s="1" t="s">
        <v>596</v>
      </c>
      <c r="T11" s="1" t="s">
        <v>685</v>
      </c>
      <c r="U11" s="1" t="s">
        <v>596</v>
      </c>
      <c r="V11" s="1" t="s">
        <v>685</v>
      </c>
      <c r="W11" s="1" t="s">
        <v>596</v>
      </c>
      <c r="X11" s="1" t="s">
        <v>685</v>
      </c>
      <c r="Y11" s="1" t="s">
        <v>596</v>
      </c>
      <c r="Z11" s="1" t="s">
        <v>685</v>
      </c>
      <c r="AA11" s="1" t="s">
        <v>596</v>
      </c>
      <c r="AB11" s="1" t="s">
        <v>685</v>
      </c>
      <c r="AC11" s="1" t="s">
        <v>596</v>
      </c>
      <c r="AD11" s="1" t="s">
        <v>685</v>
      </c>
      <c r="AE11" s="1" t="s">
        <v>596</v>
      </c>
      <c r="AF11" s="1" t="s">
        <v>685</v>
      </c>
      <c r="AG11" s="1" t="s">
        <v>596</v>
      </c>
      <c r="AH11" s="1" t="s">
        <v>685</v>
      </c>
      <c r="AI11" s="1" t="s">
        <v>596</v>
      </c>
      <c r="AJ11" s="1" t="s">
        <v>685</v>
      </c>
      <c r="AK11" s="1" t="s">
        <v>596</v>
      </c>
      <c r="AL11" s="1" t="s">
        <v>685</v>
      </c>
      <c r="AM11" s="1" t="s">
        <v>596</v>
      </c>
      <c r="AN11" s="1" t="s">
        <v>685</v>
      </c>
      <c r="AO11" s="1" t="s">
        <v>596</v>
      </c>
      <c r="AP11" s="1" t="s">
        <v>685</v>
      </c>
      <c r="AQ11" s="1" t="s">
        <v>596</v>
      </c>
      <c r="AR11" s="1" t="s">
        <v>685</v>
      </c>
      <c r="AS11" s="1" t="s">
        <v>596</v>
      </c>
      <c r="AT11" s="1" t="s">
        <v>685</v>
      </c>
      <c r="AU11" s="1" t="s">
        <v>596</v>
      </c>
      <c r="AV11" s="1" t="s">
        <v>685</v>
      </c>
      <c r="AW11" s="1" t="s">
        <v>596</v>
      </c>
      <c r="AX11" s="1" t="s">
        <v>685</v>
      </c>
      <c r="AY11" s="1" t="s">
        <v>596</v>
      </c>
      <c r="AZ11" s="1" t="s">
        <v>685</v>
      </c>
      <c r="BA11" s="1" t="s">
        <v>596</v>
      </c>
      <c r="BB11" s="1" t="s">
        <v>685</v>
      </c>
      <c r="BC11" s="1" t="s">
        <v>596</v>
      </c>
      <c r="BD11" s="1" t="s">
        <v>685</v>
      </c>
      <c r="BE11" s="1" t="s">
        <v>596</v>
      </c>
      <c r="BF11" s="1" t="s">
        <v>685</v>
      </c>
      <c r="BG11" s="1" t="s">
        <v>596</v>
      </c>
      <c r="BH11" s="1" t="s">
        <v>685</v>
      </c>
      <c r="BI11" s="1" t="s">
        <v>596</v>
      </c>
      <c r="BJ11" s="1" t="s">
        <v>685</v>
      </c>
      <c r="BK11" s="1" t="s">
        <v>596</v>
      </c>
      <c r="BL11" s="1" t="s">
        <v>685</v>
      </c>
      <c r="BM11" s="1" t="s">
        <v>596</v>
      </c>
      <c r="BN11" s="1" t="s">
        <v>685</v>
      </c>
      <c r="BO11" s="1" t="s">
        <v>596</v>
      </c>
      <c r="BP11" s="1" t="s">
        <v>685</v>
      </c>
      <c r="BQ11" s="1" t="s">
        <v>596</v>
      </c>
      <c r="BR11" s="1" t="s">
        <v>685</v>
      </c>
      <c r="BS11" s="1" t="s">
        <v>596</v>
      </c>
      <c r="BT11" s="1" t="s">
        <v>685</v>
      </c>
      <c r="BU11" s="1" t="s">
        <v>596</v>
      </c>
      <c r="BV11" s="1" t="s">
        <v>685</v>
      </c>
      <c r="BW11" s="5"/>
      <c r="BX11" s="1"/>
      <c r="BY11" s="1"/>
      <c r="BZ11" s="1"/>
      <c r="CA11" s="1"/>
      <c r="CB11" s="1"/>
      <c r="CC11" s="1"/>
      <c r="CD11" s="1"/>
      <c r="CE11" s="1"/>
      <c r="CF11" s="1"/>
      <c r="CG11" s="1"/>
      <c r="CH11" s="1"/>
      <c r="CI11" s="1"/>
      <c r="CJ11" s="1"/>
      <c r="CK11" s="1"/>
      <c r="CL11" s="1"/>
      <c r="CM11" s="1"/>
      <c r="CN11" s="1"/>
      <c r="CO11" s="1"/>
    </row>
    <row r="12" spans="1:93" ht="10.5" customHeight="1" x14ac:dyDescent="0.15">
      <c r="D12" s="1" t="s">
        <v>165</v>
      </c>
      <c r="E12" s="1" t="s">
        <v>89</v>
      </c>
      <c r="F12" s="1" t="s">
        <v>77</v>
      </c>
      <c r="G12" s="1" t="str">
        <f>G1&amp;".1"</f>
        <v>4.1</v>
      </c>
      <c r="H12" s="1" t="str">
        <f>G1&amp;".2"</f>
        <v>4.2</v>
      </c>
      <c r="I12" s="1" t="str">
        <f>I1&amp;".1"</f>
        <v>4.1</v>
      </c>
      <c r="J12" s="1" t="str">
        <f>I1&amp;".2"</f>
        <v>4.2</v>
      </c>
      <c r="K12" s="1" t="str">
        <f>K1&amp;".1"</f>
        <v>4.1</v>
      </c>
      <c r="L12" s="1" t="str">
        <f>K1&amp;".2"</f>
        <v>4.2</v>
      </c>
      <c r="M12" s="1" t="str">
        <f>M1&amp;".1"</f>
        <v>4.1</v>
      </c>
      <c r="N12" s="1" t="str">
        <f>M1&amp;".2"</f>
        <v>4.2</v>
      </c>
      <c r="O12" s="1" t="str">
        <f>O1&amp;".1"</f>
        <v>4.1</v>
      </c>
      <c r="P12" s="1" t="str">
        <f>O1&amp;".2"</f>
        <v>4.2</v>
      </c>
      <c r="Q12" s="1" t="str">
        <f>Q1&amp;".1"</f>
        <v>4.1</v>
      </c>
      <c r="R12" s="1" t="str">
        <f>Q1&amp;".2"</f>
        <v>4.2</v>
      </c>
      <c r="S12" s="1" t="str">
        <f>S1&amp;".1"</f>
        <v>4.1</v>
      </c>
      <c r="T12" s="1" t="str">
        <f>S1&amp;".2"</f>
        <v>4.2</v>
      </c>
      <c r="U12" s="1" t="str">
        <f>U1&amp;".1"</f>
        <v>4.1</v>
      </c>
      <c r="V12" s="1" t="str">
        <f>U1&amp;".2"</f>
        <v>4.2</v>
      </c>
      <c r="W12" s="1" t="str">
        <f>W1&amp;".1"</f>
        <v>4.1</v>
      </c>
      <c r="X12" s="1" t="str">
        <f>W1&amp;".2"</f>
        <v>4.2</v>
      </c>
      <c r="Y12" s="1" t="str">
        <f>Y1&amp;".1"</f>
        <v>4.1</v>
      </c>
      <c r="Z12" s="1" t="str">
        <f>Y1&amp;".2"</f>
        <v>4.2</v>
      </c>
      <c r="AA12" s="1" t="str">
        <f>AA1&amp;".1"</f>
        <v>4.1</v>
      </c>
      <c r="AB12" s="1" t="str">
        <f>AA1&amp;".2"</f>
        <v>4.2</v>
      </c>
      <c r="AC12" s="1" t="str">
        <f>AC1&amp;".1"</f>
        <v>4.1</v>
      </c>
      <c r="AD12" s="1" t="str">
        <f>AC1&amp;".2"</f>
        <v>4.2</v>
      </c>
      <c r="AE12" s="1" t="str">
        <f>AE1&amp;".1"</f>
        <v>4.1</v>
      </c>
      <c r="AF12" s="1" t="str">
        <f>AE1&amp;".2"</f>
        <v>4.2</v>
      </c>
      <c r="AG12" s="1" t="str">
        <f>AG1&amp;".1"</f>
        <v>4.1</v>
      </c>
      <c r="AH12" s="1" t="str">
        <f>AG1&amp;".2"</f>
        <v>4.2</v>
      </c>
      <c r="AI12" s="1" t="str">
        <f>AI1&amp;".1"</f>
        <v>4.1</v>
      </c>
      <c r="AJ12" s="1" t="str">
        <f>AI1&amp;".2"</f>
        <v>4.2</v>
      </c>
      <c r="AK12" s="1" t="str">
        <f>AK1&amp;".1"</f>
        <v>4.1</v>
      </c>
      <c r="AL12" s="1" t="str">
        <f>AK1&amp;".2"</f>
        <v>4.2</v>
      </c>
      <c r="AM12" s="1" t="str">
        <f>AM1&amp;".1"</f>
        <v>4.1</v>
      </c>
      <c r="AN12" s="1" t="str">
        <f>AM1&amp;".2"</f>
        <v>4.2</v>
      </c>
      <c r="AO12" s="1" t="str">
        <f>AO1&amp;".1"</f>
        <v>4.1</v>
      </c>
      <c r="AP12" s="1" t="str">
        <f>AO1&amp;".2"</f>
        <v>4.2</v>
      </c>
      <c r="AQ12" s="1" t="str">
        <f>AQ1&amp;".1"</f>
        <v>4.1</v>
      </c>
      <c r="AR12" s="1" t="str">
        <f>AQ1&amp;".2"</f>
        <v>4.2</v>
      </c>
      <c r="AS12" s="1" t="str">
        <f>AS1&amp;".1"</f>
        <v>4.1</v>
      </c>
      <c r="AT12" s="1" t="str">
        <f>AS1&amp;".2"</f>
        <v>4.2</v>
      </c>
      <c r="AU12" s="1" t="str">
        <f>AU1&amp;".1"</f>
        <v>4.1</v>
      </c>
      <c r="AV12" s="1" t="str">
        <f>AU1&amp;".2"</f>
        <v>4.2</v>
      </c>
      <c r="AW12" s="1" t="str">
        <f>AW1&amp;".1"</f>
        <v>4.1</v>
      </c>
      <c r="AX12" s="1" t="str">
        <f>AW1&amp;".2"</f>
        <v>4.2</v>
      </c>
      <c r="AY12" s="1" t="str">
        <f>AY1&amp;".1"</f>
        <v>4.1</v>
      </c>
      <c r="AZ12" s="1" t="str">
        <f>AY1&amp;".2"</f>
        <v>4.2</v>
      </c>
      <c r="BA12" s="1" t="str">
        <f>BA1&amp;".1"</f>
        <v>4.1</v>
      </c>
      <c r="BB12" s="1" t="str">
        <f>BA1&amp;".2"</f>
        <v>4.2</v>
      </c>
      <c r="BC12" s="1" t="str">
        <f>BC1&amp;".1"</f>
        <v>4.1</v>
      </c>
      <c r="BD12" s="1" t="str">
        <f>BC1&amp;".2"</f>
        <v>4.2</v>
      </c>
      <c r="BE12" s="1" t="str">
        <f>BE1&amp;".1"</f>
        <v>4.1</v>
      </c>
      <c r="BF12" s="1" t="str">
        <f>BE1&amp;".2"</f>
        <v>4.2</v>
      </c>
      <c r="BG12" s="1" t="str">
        <f>BG1&amp;".1"</f>
        <v>4.1</v>
      </c>
      <c r="BH12" s="1" t="str">
        <f>BG1&amp;".2"</f>
        <v>4.2</v>
      </c>
      <c r="BI12" s="1" t="str">
        <f>BI1&amp;".1"</f>
        <v>4.1</v>
      </c>
      <c r="BJ12" s="1" t="str">
        <f>BI1&amp;".2"</f>
        <v>4.2</v>
      </c>
      <c r="BK12" s="1" t="str">
        <f>BK1&amp;".1"</f>
        <v>4.1</v>
      </c>
      <c r="BL12" s="1" t="str">
        <f>BK1&amp;".2"</f>
        <v>4.2</v>
      </c>
      <c r="BM12" s="1" t="str">
        <f>BM1&amp;".1"</f>
        <v>4.1</v>
      </c>
      <c r="BN12" s="1" t="str">
        <f>BM1&amp;".2"</f>
        <v>4.2</v>
      </c>
      <c r="BO12" s="1" t="str">
        <f>BO1&amp;".1"</f>
        <v>4.1</v>
      </c>
      <c r="BP12" s="1" t="str">
        <f>BO1&amp;".2"</f>
        <v>4.2</v>
      </c>
      <c r="BQ12" s="1" t="str">
        <f>BQ1&amp;".1"</f>
        <v>4.1</v>
      </c>
      <c r="BR12" s="1" t="str">
        <f>BQ1&amp;".2"</f>
        <v>4.2</v>
      </c>
      <c r="BS12" s="1" t="str">
        <f>BS1&amp;".1"</f>
        <v>4.1</v>
      </c>
      <c r="BT12" s="1" t="str">
        <f>BS1&amp;".2"</f>
        <v>4.2</v>
      </c>
      <c r="BU12" s="1" t="str">
        <f>BU1&amp;".1"</f>
        <v>4.1</v>
      </c>
      <c r="BV12" s="1" t="str">
        <f>BU1&amp;".2"</f>
        <v>4.2</v>
      </c>
      <c r="BW12" s="1"/>
      <c r="BX12" s="1"/>
      <c r="BY12" s="1"/>
      <c r="BZ12" s="1"/>
      <c r="CA12" s="1"/>
      <c r="CB12" s="1"/>
      <c r="CC12" s="1"/>
      <c r="CD12" s="1"/>
      <c r="CE12" s="1"/>
      <c r="CF12" s="1"/>
      <c r="CG12" s="1"/>
      <c r="CH12" s="1"/>
      <c r="CI12" s="1"/>
      <c r="CJ12" s="1"/>
      <c r="CK12" s="1"/>
      <c r="CL12" s="1"/>
      <c r="CM12" s="1"/>
      <c r="CN12" s="1"/>
      <c r="CO12" s="1"/>
    </row>
    <row r="13" spans="1:93" ht="22.5" customHeight="1" x14ac:dyDescent="0.15">
      <c r="A13" s="6" t="s">
        <v>693</v>
      </c>
      <c r="D13" s="1" t="s">
        <v>165</v>
      </c>
      <c r="E13" s="1" t="s">
        <v>1860</v>
      </c>
      <c r="F13" s="1" t="s">
        <v>1861</v>
      </c>
      <c r="G13" s="1"/>
      <c r="H13" s="1"/>
      <c r="I13" s="1">
        <f>353/1038</f>
        <v>0.34007707129094411</v>
      </c>
      <c r="J13" s="1"/>
      <c r="K13" s="1">
        <f>38/67.4215</f>
        <v>0.56361843032267156</v>
      </c>
      <c r="L13" s="1"/>
      <c r="M13" s="1">
        <f>55/48.5324</f>
        <v>1.1332635517715999</v>
      </c>
      <c r="N13" s="1"/>
      <c r="O13" s="1">
        <v>0</v>
      </c>
      <c r="P13" s="1"/>
      <c r="Q13" s="1">
        <f>94/65.38</f>
        <v>1.4377485469562559</v>
      </c>
      <c r="R13" s="1"/>
      <c r="S13" s="1">
        <f>9/23.195</f>
        <v>0.38801465833153698</v>
      </c>
      <c r="T13" s="1"/>
      <c r="U13" s="1">
        <f>8/10.058</f>
        <v>0.79538675681049908</v>
      </c>
      <c r="V13" s="1"/>
      <c r="W13" s="1">
        <f>1/13.886</f>
        <v>7.2014979115656061E-2</v>
      </c>
      <c r="X13" s="1"/>
      <c r="Y13" s="1">
        <v>0</v>
      </c>
      <c r="Z13" s="1"/>
      <c r="AA13" s="1">
        <v>0</v>
      </c>
      <c r="AB13" s="1"/>
      <c r="AC13" s="1">
        <v>0</v>
      </c>
      <c r="AD13" s="1"/>
      <c r="AE13" s="1">
        <v>0</v>
      </c>
      <c r="AF13" s="1"/>
      <c r="AG13" s="1">
        <v>0</v>
      </c>
      <c r="AH13" s="1"/>
      <c r="AI13" s="1">
        <v>0</v>
      </c>
      <c r="AJ13" s="1"/>
      <c r="AK13" s="1">
        <v>0</v>
      </c>
      <c r="AL13" s="1"/>
      <c r="AM13" s="1">
        <v>0</v>
      </c>
      <c r="AN13" s="1"/>
      <c r="AO13" s="1">
        <v>0</v>
      </c>
      <c r="AP13" s="1"/>
      <c r="AQ13" s="1">
        <v>0</v>
      </c>
      <c r="AR13" s="1"/>
      <c r="AS13" s="1">
        <v>0</v>
      </c>
      <c r="AT13" s="1"/>
      <c r="AU13" s="1">
        <v>0</v>
      </c>
      <c r="AV13" s="1"/>
      <c r="AW13" s="1">
        <v>0</v>
      </c>
      <c r="AX13" s="1"/>
      <c r="AY13" s="1">
        <v>0</v>
      </c>
      <c r="AZ13" s="1"/>
      <c r="BA13" s="1">
        <v>0</v>
      </c>
      <c r="BB13" s="1"/>
      <c r="BC13" s="1">
        <v>0</v>
      </c>
      <c r="BD13" s="1"/>
      <c r="BE13" s="1">
        <v>0</v>
      </c>
      <c r="BF13" s="1"/>
      <c r="BG13" s="1">
        <v>0</v>
      </c>
      <c r="BH13" s="1"/>
      <c r="BI13" s="1">
        <f>9/69</f>
        <v>0.13043478260869565</v>
      </c>
      <c r="BJ13" s="1"/>
      <c r="BK13" s="1">
        <f>27/48.451</f>
        <v>0.55726403995789564</v>
      </c>
      <c r="BL13" s="1"/>
      <c r="BM13" s="1">
        <f>41/12.642</f>
        <v>3.2431577282075623</v>
      </c>
      <c r="BN13" s="1"/>
      <c r="BO13" s="1">
        <v>0</v>
      </c>
      <c r="BP13" s="1"/>
      <c r="BQ13" s="1">
        <v>0</v>
      </c>
      <c r="BR13" s="1"/>
      <c r="BS13" s="1">
        <v>0</v>
      </c>
      <c r="BT13" s="1"/>
      <c r="BU13" s="1">
        <v>0</v>
      </c>
      <c r="BV13" s="1"/>
      <c r="BW13" s="1" t="s">
        <v>1862</v>
      </c>
      <c r="BX13" s="1"/>
      <c r="BY13" s="1"/>
      <c r="BZ13" s="1"/>
      <c r="CA13" s="1"/>
      <c r="CB13" s="1"/>
      <c r="CC13" s="1"/>
      <c r="CD13" s="1"/>
      <c r="CE13" s="1"/>
      <c r="CF13" s="1"/>
      <c r="CG13" s="1"/>
      <c r="CH13" s="1"/>
      <c r="CI13" s="1"/>
      <c r="CJ13" s="1"/>
      <c r="CK13" s="1"/>
      <c r="CL13" s="1"/>
      <c r="CM13" s="1"/>
      <c r="CN13" s="1"/>
      <c r="CO13" s="1"/>
    </row>
    <row r="14" spans="1:93" ht="22.5" customHeight="1" x14ac:dyDescent="0.15">
      <c r="A14" s="6"/>
      <c r="D14" s="1" t="s">
        <v>89</v>
      </c>
      <c r="E14" s="1" t="s">
        <v>1863</v>
      </c>
      <c r="F14" s="1" t="s">
        <v>1864</v>
      </c>
      <c r="G14" s="1"/>
      <c r="H14" s="1"/>
      <c r="I14" s="1">
        <f>91/588</f>
        <v>0.15476190476190477</v>
      </c>
      <c r="J14" s="1"/>
      <c r="K14" s="1">
        <f>1/9</f>
        <v>0.1111111111111111</v>
      </c>
      <c r="L14" s="1"/>
      <c r="M14" s="1">
        <f>14/8</f>
        <v>1.75</v>
      </c>
      <c r="N14" s="1"/>
      <c r="O14" s="1">
        <v>0</v>
      </c>
      <c r="P14" s="1"/>
      <c r="Q14" s="1">
        <f>10/34</f>
        <v>0.29411764705882354</v>
      </c>
      <c r="R14" s="1"/>
      <c r="S14" s="1">
        <f>2/9</f>
        <v>0.22222222222222221</v>
      </c>
      <c r="T14" s="1"/>
      <c r="U14" s="1">
        <v>0</v>
      </c>
      <c r="V14" s="1"/>
      <c r="W14" s="1">
        <v>0</v>
      </c>
      <c r="X14" s="1"/>
      <c r="Y14" s="1">
        <f>1/8</f>
        <v>0.125</v>
      </c>
      <c r="Z14" s="1"/>
      <c r="AA14" s="1">
        <v>0</v>
      </c>
      <c r="AB14" s="1"/>
      <c r="AC14" s="1">
        <f>1/2</f>
        <v>0.5</v>
      </c>
      <c r="AD14" s="1"/>
      <c r="AE14" s="1">
        <v>0</v>
      </c>
      <c r="AF14" s="1"/>
      <c r="AG14" s="1">
        <v>0</v>
      </c>
      <c r="AH14" s="1"/>
      <c r="AI14" s="1">
        <v>0</v>
      </c>
      <c r="AJ14" s="1"/>
      <c r="AK14" s="1">
        <v>0</v>
      </c>
      <c r="AL14" s="1"/>
      <c r="AM14" s="1">
        <v>0</v>
      </c>
      <c r="AN14" s="1"/>
      <c r="AO14" s="1">
        <v>0</v>
      </c>
      <c r="AP14" s="1"/>
      <c r="AQ14" s="1">
        <v>0</v>
      </c>
      <c r="AR14" s="1"/>
      <c r="AS14" s="1">
        <v>0</v>
      </c>
      <c r="AT14" s="1"/>
      <c r="AU14" s="1">
        <v>0</v>
      </c>
      <c r="AV14" s="1"/>
      <c r="AW14" s="1">
        <v>0</v>
      </c>
      <c r="AX14" s="1"/>
      <c r="AY14" s="1">
        <v>0</v>
      </c>
      <c r="AZ14" s="1"/>
      <c r="BA14" s="1">
        <v>0</v>
      </c>
      <c r="BB14" s="1"/>
      <c r="BC14" s="1">
        <v>0</v>
      </c>
      <c r="BD14" s="1"/>
      <c r="BE14" s="1">
        <v>0</v>
      </c>
      <c r="BF14" s="1"/>
      <c r="BG14" s="1">
        <v>0</v>
      </c>
      <c r="BH14" s="1"/>
      <c r="BI14" s="1">
        <v>0</v>
      </c>
      <c r="BJ14" s="1"/>
      <c r="BK14" s="1">
        <f>1/9</f>
        <v>0.1111111111111111</v>
      </c>
      <c r="BL14" s="1"/>
      <c r="BM14" s="1">
        <f>41/8</f>
        <v>5.125</v>
      </c>
      <c r="BN14" s="1"/>
      <c r="BO14" s="1">
        <v>0</v>
      </c>
      <c r="BP14" s="1"/>
      <c r="BQ14" s="1">
        <v>0</v>
      </c>
      <c r="BR14" s="1"/>
      <c r="BS14" s="1">
        <v>0</v>
      </c>
      <c r="BT14" s="1"/>
      <c r="BU14" s="1">
        <v>0</v>
      </c>
      <c r="BV14" s="1"/>
      <c r="BW14" s="1" t="s">
        <v>1865</v>
      </c>
      <c r="BX14" s="1"/>
      <c r="BY14" s="1"/>
      <c r="BZ14" s="1"/>
      <c r="CA14" s="1"/>
      <c r="CB14" s="1"/>
      <c r="CC14" s="1"/>
      <c r="CD14" s="1"/>
      <c r="CE14" s="1"/>
      <c r="CF14" s="1"/>
      <c r="CG14" s="1"/>
      <c r="CH14" s="1"/>
      <c r="CI14" s="1"/>
      <c r="CJ14" s="1"/>
      <c r="CK14" s="1"/>
      <c r="CL14" s="1"/>
      <c r="CM14" s="1"/>
      <c r="CN14" s="1"/>
      <c r="CO14" s="1"/>
    </row>
    <row r="15" spans="1:93" ht="78.75" customHeight="1" x14ac:dyDescent="0.15">
      <c r="A15" s="6"/>
      <c r="D15" s="1" t="s">
        <v>77</v>
      </c>
      <c r="E15" s="1" t="s">
        <v>1868</v>
      </c>
      <c r="F15" s="1" t="s">
        <v>599</v>
      </c>
      <c r="G15" s="1" t="s">
        <v>599</v>
      </c>
      <c r="H15" s="1"/>
      <c r="I15" s="1" t="s">
        <v>599</v>
      </c>
      <c r="J15" s="1"/>
      <c r="K15" s="1" t="s">
        <v>599</v>
      </c>
      <c r="L15" s="1"/>
      <c r="M15" s="1" t="s">
        <v>599</v>
      </c>
      <c r="N15" s="1"/>
      <c r="O15" s="1" t="s">
        <v>599</v>
      </c>
      <c r="P15" s="1"/>
      <c r="Q15" s="1" t="s">
        <v>599</v>
      </c>
      <c r="R15" s="1"/>
      <c r="S15" s="1" t="s">
        <v>599</v>
      </c>
      <c r="T15" s="1"/>
      <c r="U15" s="1" t="s">
        <v>599</v>
      </c>
      <c r="V15" s="1"/>
      <c r="W15" s="1" t="s">
        <v>599</v>
      </c>
      <c r="X15" s="1"/>
      <c r="Y15" s="1" t="s">
        <v>599</v>
      </c>
      <c r="Z15" s="1"/>
      <c r="AA15" s="1" t="s">
        <v>599</v>
      </c>
      <c r="AB15" s="1"/>
      <c r="AC15" s="1" t="s">
        <v>599</v>
      </c>
      <c r="AD15" s="1"/>
      <c r="AE15" s="1" t="s">
        <v>599</v>
      </c>
      <c r="AF15" s="1"/>
      <c r="AG15" s="1" t="s">
        <v>599</v>
      </c>
      <c r="AH15" s="1"/>
      <c r="AI15" s="1" t="s">
        <v>599</v>
      </c>
      <c r="AJ15" s="1"/>
      <c r="AK15" s="1" t="s">
        <v>599</v>
      </c>
      <c r="AL15" s="1"/>
      <c r="AM15" s="1" t="s">
        <v>599</v>
      </c>
      <c r="AN15" s="1"/>
      <c r="AO15" s="1" t="s">
        <v>599</v>
      </c>
      <c r="AP15" s="1"/>
      <c r="AQ15" s="1" t="s">
        <v>599</v>
      </c>
      <c r="AR15" s="1"/>
      <c r="AS15" s="1" t="s">
        <v>599</v>
      </c>
      <c r="AT15" s="1"/>
      <c r="AU15" s="1" t="s">
        <v>599</v>
      </c>
      <c r="AV15" s="1"/>
      <c r="AW15" s="1" t="s">
        <v>599</v>
      </c>
      <c r="AX15" s="1"/>
      <c r="AY15" s="1" t="s">
        <v>599</v>
      </c>
      <c r="AZ15" s="1"/>
      <c r="BA15" s="1" t="s">
        <v>599</v>
      </c>
      <c r="BB15" s="1"/>
      <c r="BC15" s="1" t="s">
        <v>599</v>
      </c>
      <c r="BD15" s="1"/>
      <c r="BE15" s="1" t="s">
        <v>599</v>
      </c>
      <c r="BF15" s="1"/>
      <c r="BG15" s="1" t="s">
        <v>599</v>
      </c>
      <c r="BH15" s="1"/>
      <c r="BI15" s="1" t="s">
        <v>599</v>
      </c>
      <c r="BJ15" s="1"/>
      <c r="BK15" s="1" t="s">
        <v>599</v>
      </c>
      <c r="BL15" s="1"/>
      <c r="BM15" s="1" t="s">
        <v>599</v>
      </c>
      <c r="BN15" s="1"/>
      <c r="BO15" s="1" t="s">
        <v>599</v>
      </c>
      <c r="BP15" s="1"/>
      <c r="BQ15" s="1" t="s">
        <v>599</v>
      </c>
      <c r="BR15" s="1"/>
      <c r="BS15" s="1" t="s">
        <v>599</v>
      </c>
      <c r="BT15" s="1"/>
      <c r="BU15" s="1" t="s">
        <v>599</v>
      </c>
      <c r="BV15" s="1"/>
      <c r="BW15" s="1" t="s">
        <v>3286</v>
      </c>
      <c r="BX15" s="1"/>
      <c r="BY15" s="1"/>
      <c r="BZ15" s="1"/>
      <c r="CA15" s="1"/>
      <c r="CB15" s="1"/>
      <c r="CC15" s="1"/>
      <c r="CD15" s="1"/>
      <c r="CE15" s="1"/>
      <c r="CF15" s="1"/>
      <c r="CG15" s="1"/>
      <c r="CH15" s="1"/>
      <c r="CI15" s="1"/>
      <c r="CJ15" s="1"/>
      <c r="CK15" s="1"/>
      <c r="CL15" s="1"/>
      <c r="CM15" s="1"/>
      <c r="CN15" s="1"/>
      <c r="CO15" s="1"/>
    </row>
    <row r="16" spans="1:93" ht="22.5" customHeight="1" x14ac:dyDescent="0.15">
      <c r="A16" s="6"/>
      <c r="D16" s="1" t="s">
        <v>619</v>
      </c>
      <c r="E16" s="1" t="s">
        <v>1870</v>
      </c>
      <c r="F16" s="1" t="s">
        <v>1871</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row>
    <row r="17" spans="1:93" ht="22.5" customHeight="1" x14ac:dyDescent="0.15">
      <c r="A17" s="6"/>
      <c r="D17" s="1" t="s">
        <v>627</v>
      </c>
      <c r="E17" s="1" t="s">
        <v>1872</v>
      </c>
      <c r="F17" s="1" t="s">
        <v>1873</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row>
    <row r="18" spans="1:93" ht="33.75" customHeight="1" x14ac:dyDescent="0.15">
      <c r="A18" s="6"/>
      <c r="D18" s="1" t="s">
        <v>629</v>
      </c>
      <c r="E18" s="1" t="s">
        <v>1875</v>
      </c>
      <c r="F18" s="1" t="s">
        <v>1876</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row>
    <row r="19" spans="1:93" ht="101.25" customHeight="1" x14ac:dyDescent="0.15">
      <c r="A19" s="6"/>
      <c r="D19" s="1" t="s">
        <v>78</v>
      </c>
      <c r="E19" s="1" t="s">
        <v>3287</v>
      </c>
      <c r="F19" s="1" t="s">
        <v>1692</v>
      </c>
      <c r="G19" s="1"/>
      <c r="H19" s="1"/>
      <c r="I19" s="1" t="s">
        <v>3288</v>
      </c>
      <c r="J19" s="1"/>
      <c r="K19" s="1" t="s">
        <v>3288</v>
      </c>
      <c r="L19" s="1"/>
      <c r="M19" s="1" t="s">
        <v>3288</v>
      </c>
      <c r="N19" s="1"/>
      <c r="O19" s="1" t="s">
        <v>3288</v>
      </c>
      <c r="P19" s="1"/>
      <c r="Q19" s="1" t="s">
        <v>3288</v>
      </c>
      <c r="R19" s="1"/>
      <c r="S19" s="1" t="s">
        <v>3288</v>
      </c>
      <c r="T19" s="1"/>
      <c r="U19" s="1" t="s">
        <v>3288</v>
      </c>
      <c r="V19" s="1"/>
      <c r="W19" s="1" t="s">
        <v>3288</v>
      </c>
      <c r="X19" s="1"/>
      <c r="Y19" s="1" t="s">
        <v>3288</v>
      </c>
      <c r="Z19" s="1"/>
      <c r="AA19" s="1" t="s">
        <v>3288</v>
      </c>
      <c r="AB19" s="1"/>
      <c r="AC19" s="1" t="s">
        <v>3288</v>
      </c>
      <c r="AD19" s="1"/>
      <c r="AE19" s="1" t="s">
        <v>3288</v>
      </c>
      <c r="AF19" s="1"/>
      <c r="AG19" s="1" t="s">
        <v>3288</v>
      </c>
      <c r="AH19" s="1"/>
      <c r="AI19" s="1" t="s">
        <v>3288</v>
      </c>
      <c r="AJ19" s="1"/>
      <c r="AK19" s="1" t="s">
        <v>3288</v>
      </c>
      <c r="AL19" s="1"/>
      <c r="AM19" s="1" t="s">
        <v>3288</v>
      </c>
      <c r="AN19" s="1"/>
      <c r="AO19" s="1" t="s">
        <v>3288</v>
      </c>
      <c r="AP19" s="1"/>
      <c r="AQ19" s="1" t="s">
        <v>3288</v>
      </c>
      <c r="AR19" s="1"/>
      <c r="AS19" s="1" t="s">
        <v>3288</v>
      </c>
      <c r="AT19" s="1"/>
      <c r="AU19" s="1" t="s">
        <v>3288</v>
      </c>
      <c r="AV19" s="1"/>
      <c r="AW19" s="1" t="s">
        <v>3288</v>
      </c>
      <c r="AX19" s="1"/>
      <c r="AY19" s="1" t="s">
        <v>3288</v>
      </c>
      <c r="AZ19" s="1"/>
      <c r="BA19" s="1" t="s">
        <v>3288</v>
      </c>
      <c r="BB19" s="1"/>
      <c r="BC19" s="1" t="s">
        <v>3288</v>
      </c>
      <c r="BD19" s="1"/>
      <c r="BE19" s="1" t="s">
        <v>3288</v>
      </c>
      <c r="BF19" s="1"/>
      <c r="BG19" s="1" t="s">
        <v>3288</v>
      </c>
      <c r="BH19" s="1"/>
      <c r="BI19" s="1" t="s">
        <v>3288</v>
      </c>
      <c r="BJ19" s="1"/>
      <c r="BK19" s="1" t="s">
        <v>3288</v>
      </c>
      <c r="BL19" s="1"/>
      <c r="BM19" s="1" t="s">
        <v>3288</v>
      </c>
      <c r="BN19" s="1"/>
      <c r="BO19" s="1" t="s">
        <v>3288</v>
      </c>
      <c r="BP19" s="1"/>
      <c r="BQ19" s="1" t="s">
        <v>3288</v>
      </c>
      <c r="BR19" s="1"/>
      <c r="BS19" s="1" t="s">
        <v>3288</v>
      </c>
      <c r="BT19" s="1"/>
      <c r="BU19" s="1" t="s">
        <v>3288</v>
      </c>
      <c r="BV19" s="1"/>
      <c r="BW19" s="1" t="s">
        <v>3289</v>
      </c>
      <c r="BX19" s="1"/>
      <c r="BY19" s="1"/>
      <c r="BZ19" s="1"/>
      <c r="CA19" s="1"/>
      <c r="CB19" s="1"/>
      <c r="CC19" s="1"/>
      <c r="CD19" s="1"/>
      <c r="CE19" s="1"/>
      <c r="CF19" s="1"/>
      <c r="CG19" s="1"/>
      <c r="CH19" s="1"/>
      <c r="CI19" s="1"/>
      <c r="CJ19" s="1"/>
      <c r="CK19" s="1"/>
      <c r="CL19" s="1"/>
      <c r="CM19" s="1"/>
      <c r="CN19" s="1"/>
      <c r="CO19" s="1"/>
    </row>
    <row r="20" spans="1:93" ht="18.75" customHeight="1" x14ac:dyDescent="0.15">
      <c r="A20" s="6"/>
      <c r="D20" s="1" t="s">
        <v>907</v>
      </c>
      <c r="E20" s="1" t="s">
        <v>3290</v>
      </c>
      <c r="F20" s="1" t="s">
        <v>599</v>
      </c>
      <c r="G20" s="1" t="s">
        <v>599</v>
      </c>
      <c r="H20" s="1" t="s">
        <v>599</v>
      </c>
      <c r="I20" s="1" t="s">
        <v>599</v>
      </c>
      <c r="J20" s="1" t="s">
        <v>599</v>
      </c>
      <c r="K20" s="1" t="s">
        <v>599</v>
      </c>
      <c r="L20" s="1" t="s">
        <v>599</v>
      </c>
      <c r="M20" s="1" t="s">
        <v>599</v>
      </c>
      <c r="N20" s="1" t="s">
        <v>599</v>
      </c>
      <c r="O20" s="1" t="s">
        <v>599</v>
      </c>
      <c r="P20" s="1" t="s">
        <v>599</v>
      </c>
      <c r="Q20" s="1" t="s">
        <v>599</v>
      </c>
      <c r="R20" s="1" t="s">
        <v>599</v>
      </c>
      <c r="S20" s="1" t="s">
        <v>599</v>
      </c>
      <c r="T20" s="1" t="s">
        <v>599</v>
      </c>
      <c r="U20" s="1" t="s">
        <v>599</v>
      </c>
      <c r="V20" s="1" t="s">
        <v>599</v>
      </c>
      <c r="W20" s="1" t="s">
        <v>599</v>
      </c>
      <c r="X20" s="1" t="s">
        <v>599</v>
      </c>
      <c r="Y20" s="1" t="s">
        <v>599</v>
      </c>
      <c r="Z20" s="1" t="s">
        <v>599</v>
      </c>
      <c r="AA20" s="1" t="s">
        <v>599</v>
      </c>
      <c r="AB20" s="1" t="s">
        <v>599</v>
      </c>
      <c r="AC20" s="1" t="s">
        <v>599</v>
      </c>
      <c r="AD20" s="1" t="s">
        <v>599</v>
      </c>
      <c r="AE20" s="1" t="s">
        <v>599</v>
      </c>
      <c r="AF20" s="1" t="s">
        <v>599</v>
      </c>
      <c r="AG20" s="1" t="s">
        <v>599</v>
      </c>
      <c r="AH20" s="1" t="s">
        <v>599</v>
      </c>
      <c r="AI20" s="1" t="s">
        <v>599</v>
      </c>
      <c r="AJ20" s="1" t="s">
        <v>599</v>
      </c>
      <c r="AK20" s="1" t="s">
        <v>599</v>
      </c>
      <c r="AL20" s="1" t="s">
        <v>599</v>
      </c>
      <c r="AM20" s="1" t="s">
        <v>599</v>
      </c>
      <c r="AN20" s="1" t="s">
        <v>599</v>
      </c>
      <c r="AO20" s="1" t="s">
        <v>599</v>
      </c>
      <c r="AP20" s="1" t="s">
        <v>599</v>
      </c>
      <c r="AQ20" s="1" t="s">
        <v>599</v>
      </c>
      <c r="AR20" s="1" t="s">
        <v>599</v>
      </c>
      <c r="AS20" s="1" t="s">
        <v>599</v>
      </c>
      <c r="AT20" s="1" t="s">
        <v>599</v>
      </c>
      <c r="AU20" s="1" t="s">
        <v>599</v>
      </c>
      <c r="AV20" s="1" t="s">
        <v>599</v>
      </c>
      <c r="AW20" s="1" t="s">
        <v>599</v>
      </c>
      <c r="AX20" s="1" t="s">
        <v>599</v>
      </c>
      <c r="AY20" s="1" t="s">
        <v>599</v>
      </c>
      <c r="AZ20" s="1" t="s">
        <v>599</v>
      </c>
      <c r="BA20" s="1" t="s">
        <v>599</v>
      </c>
      <c r="BB20" s="1" t="s">
        <v>599</v>
      </c>
      <c r="BC20" s="1" t="s">
        <v>599</v>
      </c>
      <c r="BD20" s="1" t="s">
        <v>599</v>
      </c>
      <c r="BE20" s="1" t="s">
        <v>599</v>
      </c>
      <c r="BF20" s="1" t="s">
        <v>599</v>
      </c>
      <c r="BG20" s="1" t="s">
        <v>599</v>
      </c>
      <c r="BH20" s="1" t="s">
        <v>599</v>
      </c>
      <c r="BI20" s="1" t="s">
        <v>599</v>
      </c>
      <c r="BJ20" s="1" t="s">
        <v>599</v>
      </c>
      <c r="BK20" s="1" t="s">
        <v>599</v>
      </c>
      <c r="BL20" s="1" t="s">
        <v>599</v>
      </c>
      <c r="BM20" s="1" t="s">
        <v>599</v>
      </c>
      <c r="BN20" s="1" t="s">
        <v>599</v>
      </c>
      <c r="BO20" s="1" t="s">
        <v>599</v>
      </c>
      <c r="BP20" s="1" t="s">
        <v>599</v>
      </c>
      <c r="BQ20" s="1" t="s">
        <v>599</v>
      </c>
      <c r="BR20" s="1" t="s">
        <v>599</v>
      </c>
      <c r="BS20" s="1" t="s">
        <v>599</v>
      </c>
      <c r="BT20" s="1" t="s">
        <v>599</v>
      </c>
      <c r="BU20" s="1" t="s">
        <v>599</v>
      </c>
      <c r="BV20" s="1" t="s">
        <v>599</v>
      </c>
      <c r="BW20" s="1"/>
      <c r="BX20" s="1"/>
      <c r="BY20" s="1"/>
      <c r="BZ20" s="1"/>
      <c r="CA20" s="1"/>
      <c r="CB20" s="1"/>
      <c r="CC20" s="1"/>
      <c r="CD20" s="1"/>
      <c r="CE20" s="1"/>
      <c r="CF20" s="1"/>
      <c r="CG20" s="1"/>
      <c r="CH20" s="1"/>
      <c r="CI20" s="1"/>
      <c r="CJ20" s="1"/>
      <c r="CK20" s="1"/>
      <c r="CL20" s="1"/>
      <c r="CM20" s="1"/>
      <c r="CN20" s="1"/>
      <c r="CO20" s="1"/>
    </row>
    <row r="21" spans="1:93" ht="33.75" customHeight="1" x14ac:dyDescent="0.15">
      <c r="A21" s="6"/>
      <c r="D21" s="1" t="s">
        <v>916</v>
      </c>
      <c r="E21" s="1" t="s">
        <v>3291</v>
      </c>
      <c r="F21" s="1" t="s">
        <v>3292</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row>
    <row r="22" spans="1:93" ht="33.75" customHeight="1" x14ac:dyDescent="0.15">
      <c r="A22" s="6"/>
      <c r="D22" s="1" t="s">
        <v>922</v>
      </c>
      <c r="E22" s="1" t="s">
        <v>3293</v>
      </c>
      <c r="F22" s="1" t="s">
        <v>3294</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row>
    <row r="23" spans="1:93" ht="22.5" customHeight="1" x14ac:dyDescent="0.15">
      <c r="A23" s="6"/>
      <c r="D23" s="1" t="s">
        <v>926</v>
      </c>
      <c r="E23" s="1" t="s">
        <v>3295</v>
      </c>
      <c r="F23" s="1" t="s">
        <v>599</v>
      </c>
      <c r="G23" s="1" t="s">
        <v>599</v>
      </c>
      <c r="H23" s="1" t="s">
        <v>599</v>
      </c>
      <c r="I23" s="1" t="s">
        <v>599</v>
      </c>
      <c r="J23" s="1" t="s">
        <v>599</v>
      </c>
      <c r="K23" s="1" t="s">
        <v>599</v>
      </c>
      <c r="L23" s="1" t="s">
        <v>599</v>
      </c>
      <c r="M23" s="1" t="s">
        <v>599</v>
      </c>
      <c r="N23" s="1" t="s">
        <v>599</v>
      </c>
      <c r="O23" s="1" t="s">
        <v>599</v>
      </c>
      <c r="P23" s="1" t="s">
        <v>599</v>
      </c>
      <c r="Q23" s="1" t="s">
        <v>599</v>
      </c>
      <c r="R23" s="1" t="s">
        <v>599</v>
      </c>
      <c r="S23" s="1" t="s">
        <v>599</v>
      </c>
      <c r="T23" s="1" t="s">
        <v>599</v>
      </c>
      <c r="U23" s="1" t="s">
        <v>599</v>
      </c>
      <c r="V23" s="1" t="s">
        <v>599</v>
      </c>
      <c r="W23" s="1" t="s">
        <v>599</v>
      </c>
      <c r="X23" s="1" t="s">
        <v>599</v>
      </c>
      <c r="Y23" s="1" t="s">
        <v>599</v>
      </c>
      <c r="Z23" s="1" t="s">
        <v>599</v>
      </c>
      <c r="AA23" s="1" t="s">
        <v>599</v>
      </c>
      <c r="AB23" s="1" t="s">
        <v>599</v>
      </c>
      <c r="AC23" s="1" t="s">
        <v>599</v>
      </c>
      <c r="AD23" s="1" t="s">
        <v>599</v>
      </c>
      <c r="AE23" s="1" t="s">
        <v>599</v>
      </c>
      <c r="AF23" s="1" t="s">
        <v>599</v>
      </c>
      <c r="AG23" s="1" t="s">
        <v>599</v>
      </c>
      <c r="AH23" s="1" t="s">
        <v>599</v>
      </c>
      <c r="AI23" s="1" t="s">
        <v>599</v>
      </c>
      <c r="AJ23" s="1" t="s">
        <v>599</v>
      </c>
      <c r="AK23" s="1" t="s">
        <v>599</v>
      </c>
      <c r="AL23" s="1" t="s">
        <v>599</v>
      </c>
      <c r="AM23" s="1" t="s">
        <v>599</v>
      </c>
      <c r="AN23" s="1" t="s">
        <v>599</v>
      </c>
      <c r="AO23" s="1" t="s">
        <v>599</v>
      </c>
      <c r="AP23" s="1" t="s">
        <v>599</v>
      </c>
      <c r="AQ23" s="1" t="s">
        <v>599</v>
      </c>
      <c r="AR23" s="1" t="s">
        <v>599</v>
      </c>
      <c r="AS23" s="1" t="s">
        <v>599</v>
      </c>
      <c r="AT23" s="1" t="s">
        <v>599</v>
      </c>
      <c r="AU23" s="1" t="s">
        <v>599</v>
      </c>
      <c r="AV23" s="1" t="s">
        <v>599</v>
      </c>
      <c r="AW23" s="1" t="s">
        <v>599</v>
      </c>
      <c r="AX23" s="1" t="s">
        <v>599</v>
      </c>
      <c r="AY23" s="1" t="s">
        <v>599</v>
      </c>
      <c r="AZ23" s="1" t="s">
        <v>599</v>
      </c>
      <c r="BA23" s="1" t="s">
        <v>599</v>
      </c>
      <c r="BB23" s="1" t="s">
        <v>599</v>
      </c>
      <c r="BC23" s="1" t="s">
        <v>599</v>
      </c>
      <c r="BD23" s="1" t="s">
        <v>599</v>
      </c>
      <c r="BE23" s="1" t="s">
        <v>599</v>
      </c>
      <c r="BF23" s="1" t="s">
        <v>599</v>
      </c>
      <c r="BG23" s="1" t="s">
        <v>599</v>
      </c>
      <c r="BH23" s="1" t="s">
        <v>599</v>
      </c>
      <c r="BI23" s="1" t="s">
        <v>599</v>
      </c>
      <c r="BJ23" s="1" t="s">
        <v>599</v>
      </c>
      <c r="BK23" s="1" t="s">
        <v>599</v>
      </c>
      <c r="BL23" s="1" t="s">
        <v>599</v>
      </c>
      <c r="BM23" s="1" t="s">
        <v>599</v>
      </c>
      <c r="BN23" s="1" t="s">
        <v>599</v>
      </c>
      <c r="BO23" s="1" t="s">
        <v>599</v>
      </c>
      <c r="BP23" s="1" t="s">
        <v>599</v>
      </c>
      <c r="BQ23" s="1" t="s">
        <v>599</v>
      </c>
      <c r="BR23" s="1" t="s">
        <v>599</v>
      </c>
      <c r="BS23" s="1" t="s">
        <v>599</v>
      </c>
      <c r="BT23" s="1" t="s">
        <v>599</v>
      </c>
      <c r="BU23" s="1" t="s">
        <v>599</v>
      </c>
      <c r="BV23" s="1" t="s">
        <v>599</v>
      </c>
      <c r="BW23" s="1"/>
      <c r="BX23" s="1"/>
      <c r="BY23" s="1"/>
      <c r="BZ23" s="1"/>
      <c r="CA23" s="1"/>
      <c r="CB23" s="1"/>
      <c r="CC23" s="1"/>
      <c r="CD23" s="1"/>
      <c r="CE23" s="1"/>
      <c r="CF23" s="1"/>
      <c r="CG23" s="1"/>
      <c r="CH23" s="1"/>
      <c r="CI23" s="1"/>
      <c r="CJ23" s="1"/>
      <c r="CK23" s="1"/>
      <c r="CL23" s="1"/>
      <c r="CM23" s="1"/>
      <c r="CN23" s="1"/>
      <c r="CO23" s="1"/>
    </row>
    <row r="24" spans="1:93" ht="22.5" customHeight="1" x14ac:dyDescent="0.15">
      <c r="A24" s="6"/>
      <c r="D24" s="1" t="s">
        <v>3296</v>
      </c>
      <c r="E24" s="1" t="s">
        <v>3297</v>
      </c>
      <c r="F24" s="1" t="s">
        <v>3298</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row>
    <row r="25" spans="1:93" ht="22.5" customHeight="1" x14ac:dyDescent="0.15">
      <c r="A25" s="6"/>
      <c r="D25" s="1" t="s">
        <v>3299</v>
      </c>
      <c r="E25" s="1" t="s">
        <v>3300</v>
      </c>
      <c r="F25" s="1" t="s">
        <v>599</v>
      </c>
      <c r="G25" s="1" t="s">
        <v>599</v>
      </c>
      <c r="H25" s="1" t="s">
        <v>599</v>
      </c>
      <c r="I25" s="1" t="s">
        <v>599</v>
      </c>
      <c r="J25" s="1" t="s">
        <v>599</v>
      </c>
      <c r="K25" s="1" t="s">
        <v>599</v>
      </c>
      <c r="L25" s="1" t="s">
        <v>599</v>
      </c>
      <c r="M25" s="1" t="s">
        <v>599</v>
      </c>
      <c r="N25" s="1" t="s">
        <v>599</v>
      </c>
      <c r="O25" s="1" t="s">
        <v>599</v>
      </c>
      <c r="P25" s="1" t="s">
        <v>599</v>
      </c>
      <c r="Q25" s="1" t="s">
        <v>599</v>
      </c>
      <c r="R25" s="1" t="s">
        <v>599</v>
      </c>
      <c r="S25" s="1" t="s">
        <v>599</v>
      </c>
      <c r="T25" s="1" t="s">
        <v>599</v>
      </c>
      <c r="U25" s="1" t="s">
        <v>599</v>
      </c>
      <c r="V25" s="1" t="s">
        <v>599</v>
      </c>
      <c r="W25" s="1" t="s">
        <v>599</v>
      </c>
      <c r="X25" s="1" t="s">
        <v>599</v>
      </c>
      <c r="Y25" s="1" t="s">
        <v>599</v>
      </c>
      <c r="Z25" s="1" t="s">
        <v>599</v>
      </c>
      <c r="AA25" s="1" t="s">
        <v>599</v>
      </c>
      <c r="AB25" s="1" t="s">
        <v>599</v>
      </c>
      <c r="AC25" s="1" t="s">
        <v>599</v>
      </c>
      <c r="AD25" s="1" t="s">
        <v>599</v>
      </c>
      <c r="AE25" s="1" t="s">
        <v>599</v>
      </c>
      <c r="AF25" s="1" t="s">
        <v>599</v>
      </c>
      <c r="AG25" s="1" t="s">
        <v>599</v>
      </c>
      <c r="AH25" s="1" t="s">
        <v>599</v>
      </c>
      <c r="AI25" s="1" t="s">
        <v>599</v>
      </c>
      <c r="AJ25" s="1" t="s">
        <v>599</v>
      </c>
      <c r="AK25" s="1" t="s">
        <v>599</v>
      </c>
      <c r="AL25" s="1" t="s">
        <v>599</v>
      </c>
      <c r="AM25" s="1" t="s">
        <v>599</v>
      </c>
      <c r="AN25" s="1" t="s">
        <v>599</v>
      </c>
      <c r="AO25" s="1" t="s">
        <v>599</v>
      </c>
      <c r="AP25" s="1" t="s">
        <v>599</v>
      </c>
      <c r="AQ25" s="1" t="s">
        <v>599</v>
      </c>
      <c r="AR25" s="1" t="s">
        <v>599</v>
      </c>
      <c r="AS25" s="1" t="s">
        <v>599</v>
      </c>
      <c r="AT25" s="1" t="s">
        <v>599</v>
      </c>
      <c r="AU25" s="1" t="s">
        <v>599</v>
      </c>
      <c r="AV25" s="1" t="s">
        <v>599</v>
      </c>
      <c r="AW25" s="1" t="s">
        <v>599</v>
      </c>
      <c r="AX25" s="1" t="s">
        <v>599</v>
      </c>
      <c r="AY25" s="1" t="s">
        <v>599</v>
      </c>
      <c r="AZ25" s="1" t="s">
        <v>599</v>
      </c>
      <c r="BA25" s="1" t="s">
        <v>599</v>
      </c>
      <c r="BB25" s="1" t="s">
        <v>599</v>
      </c>
      <c r="BC25" s="1" t="s">
        <v>599</v>
      </c>
      <c r="BD25" s="1" t="s">
        <v>599</v>
      </c>
      <c r="BE25" s="1" t="s">
        <v>599</v>
      </c>
      <c r="BF25" s="1" t="s">
        <v>599</v>
      </c>
      <c r="BG25" s="1" t="s">
        <v>599</v>
      </c>
      <c r="BH25" s="1" t="s">
        <v>599</v>
      </c>
      <c r="BI25" s="1" t="s">
        <v>599</v>
      </c>
      <c r="BJ25" s="1" t="s">
        <v>599</v>
      </c>
      <c r="BK25" s="1" t="s">
        <v>599</v>
      </c>
      <c r="BL25" s="1" t="s">
        <v>599</v>
      </c>
      <c r="BM25" s="1" t="s">
        <v>599</v>
      </c>
      <c r="BN25" s="1" t="s">
        <v>599</v>
      </c>
      <c r="BO25" s="1" t="s">
        <v>599</v>
      </c>
      <c r="BP25" s="1" t="s">
        <v>599</v>
      </c>
      <c r="BQ25" s="1" t="s">
        <v>599</v>
      </c>
      <c r="BR25" s="1" t="s">
        <v>599</v>
      </c>
      <c r="BS25" s="1" t="s">
        <v>599</v>
      </c>
      <c r="BT25" s="1" t="s">
        <v>599</v>
      </c>
      <c r="BU25" s="1" t="s">
        <v>599</v>
      </c>
      <c r="BV25" s="1" t="s">
        <v>599</v>
      </c>
      <c r="BW25" s="1"/>
      <c r="BX25" s="1"/>
      <c r="BY25" s="1"/>
      <c r="BZ25" s="1"/>
      <c r="CA25" s="1"/>
      <c r="CB25" s="1"/>
      <c r="CC25" s="1"/>
      <c r="CD25" s="1"/>
      <c r="CE25" s="1"/>
      <c r="CF25" s="1"/>
      <c r="CG25" s="1"/>
      <c r="CH25" s="1"/>
      <c r="CI25" s="1"/>
      <c r="CJ25" s="1"/>
      <c r="CK25" s="1"/>
      <c r="CL25" s="1"/>
      <c r="CM25" s="1"/>
      <c r="CN25" s="1"/>
      <c r="CO25" s="1"/>
    </row>
    <row r="26" spans="1:93" ht="18.75" customHeight="1" x14ac:dyDescent="0.15">
      <c r="A26" s="6"/>
      <c r="D26" s="1" t="s">
        <v>3301</v>
      </c>
      <c r="E26" s="1" t="s">
        <v>3302</v>
      </c>
      <c r="F26" s="1" t="s">
        <v>3303</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row>
    <row r="27" spans="1:93" ht="18.75" customHeight="1" x14ac:dyDescent="0.15">
      <c r="A27" s="6"/>
      <c r="D27" s="1" t="s">
        <v>3304</v>
      </c>
      <c r="E27" s="1" t="s">
        <v>3305</v>
      </c>
      <c r="F27" s="1" t="s">
        <v>3306</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row>
    <row r="28" spans="1:93" ht="18.75" customHeight="1" x14ac:dyDescent="0.15">
      <c r="A28" s="6"/>
      <c r="D28" s="1" t="s">
        <v>3307</v>
      </c>
      <c r="E28" s="1" t="s">
        <v>3308</v>
      </c>
      <c r="F28" s="1" t="s">
        <v>599</v>
      </c>
      <c r="G28" s="1" t="s">
        <v>599</v>
      </c>
      <c r="H28" s="1" t="s">
        <v>599</v>
      </c>
      <c r="I28" s="1" t="s">
        <v>599</v>
      </c>
      <c r="J28" s="1" t="s">
        <v>599</v>
      </c>
      <c r="K28" s="1" t="s">
        <v>599</v>
      </c>
      <c r="L28" s="1" t="s">
        <v>599</v>
      </c>
      <c r="M28" s="1" t="s">
        <v>599</v>
      </c>
      <c r="N28" s="1" t="s">
        <v>599</v>
      </c>
      <c r="O28" s="1" t="s">
        <v>599</v>
      </c>
      <c r="P28" s="1" t="s">
        <v>599</v>
      </c>
      <c r="Q28" s="1" t="s">
        <v>599</v>
      </c>
      <c r="R28" s="1" t="s">
        <v>599</v>
      </c>
      <c r="S28" s="1" t="s">
        <v>599</v>
      </c>
      <c r="T28" s="1" t="s">
        <v>599</v>
      </c>
      <c r="U28" s="1" t="s">
        <v>599</v>
      </c>
      <c r="V28" s="1" t="s">
        <v>599</v>
      </c>
      <c r="W28" s="1" t="s">
        <v>599</v>
      </c>
      <c r="X28" s="1" t="s">
        <v>599</v>
      </c>
      <c r="Y28" s="1" t="s">
        <v>599</v>
      </c>
      <c r="Z28" s="1" t="s">
        <v>599</v>
      </c>
      <c r="AA28" s="1" t="s">
        <v>599</v>
      </c>
      <c r="AB28" s="1" t="s">
        <v>599</v>
      </c>
      <c r="AC28" s="1" t="s">
        <v>599</v>
      </c>
      <c r="AD28" s="1" t="s">
        <v>599</v>
      </c>
      <c r="AE28" s="1" t="s">
        <v>599</v>
      </c>
      <c r="AF28" s="1" t="s">
        <v>599</v>
      </c>
      <c r="AG28" s="1" t="s">
        <v>599</v>
      </c>
      <c r="AH28" s="1" t="s">
        <v>599</v>
      </c>
      <c r="AI28" s="1" t="s">
        <v>599</v>
      </c>
      <c r="AJ28" s="1" t="s">
        <v>599</v>
      </c>
      <c r="AK28" s="1" t="s">
        <v>599</v>
      </c>
      <c r="AL28" s="1" t="s">
        <v>599</v>
      </c>
      <c r="AM28" s="1" t="s">
        <v>599</v>
      </c>
      <c r="AN28" s="1" t="s">
        <v>599</v>
      </c>
      <c r="AO28" s="1" t="s">
        <v>599</v>
      </c>
      <c r="AP28" s="1" t="s">
        <v>599</v>
      </c>
      <c r="AQ28" s="1" t="s">
        <v>599</v>
      </c>
      <c r="AR28" s="1" t="s">
        <v>599</v>
      </c>
      <c r="AS28" s="1" t="s">
        <v>599</v>
      </c>
      <c r="AT28" s="1" t="s">
        <v>599</v>
      </c>
      <c r="AU28" s="1" t="s">
        <v>599</v>
      </c>
      <c r="AV28" s="1" t="s">
        <v>599</v>
      </c>
      <c r="AW28" s="1" t="s">
        <v>599</v>
      </c>
      <c r="AX28" s="1" t="s">
        <v>599</v>
      </c>
      <c r="AY28" s="1" t="s">
        <v>599</v>
      </c>
      <c r="AZ28" s="1" t="s">
        <v>599</v>
      </c>
      <c r="BA28" s="1" t="s">
        <v>599</v>
      </c>
      <c r="BB28" s="1" t="s">
        <v>599</v>
      </c>
      <c r="BC28" s="1" t="s">
        <v>599</v>
      </c>
      <c r="BD28" s="1" t="s">
        <v>599</v>
      </c>
      <c r="BE28" s="1" t="s">
        <v>599</v>
      </c>
      <c r="BF28" s="1" t="s">
        <v>599</v>
      </c>
      <c r="BG28" s="1" t="s">
        <v>599</v>
      </c>
      <c r="BH28" s="1" t="s">
        <v>599</v>
      </c>
      <c r="BI28" s="1" t="s">
        <v>599</v>
      </c>
      <c r="BJ28" s="1" t="s">
        <v>599</v>
      </c>
      <c r="BK28" s="1" t="s">
        <v>599</v>
      </c>
      <c r="BL28" s="1" t="s">
        <v>599</v>
      </c>
      <c r="BM28" s="1" t="s">
        <v>599</v>
      </c>
      <c r="BN28" s="1" t="s">
        <v>599</v>
      </c>
      <c r="BO28" s="1" t="s">
        <v>599</v>
      </c>
      <c r="BP28" s="1" t="s">
        <v>599</v>
      </c>
      <c r="BQ28" s="1" t="s">
        <v>599</v>
      </c>
      <c r="BR28" s="1" t="s">
        <v>599</v>
      </c>
      <c r="BS28" s="1" t="s">
        <v>599</v>
      </c>
      <c r="BT28" s="1" t="s">
        <v>599</v>
      </c>
      <c r="BU28" s="1" t="s">
        <v>599</v>
      </c>
      <c r="BV28" s="1" t="s">
        <v>599</v>
      </c>
      <c r="BW28" s="1"/>
      <c r="BX28" s="1"/>
      <c r="BY28" s="1"/>
      <c r="BZ28" s="1"/>
      <c r="CA28" s="1"/>
      <c r="CB28" s="1"/>
      <c r="CC28" s="1"/>
      <c r="CD28" s="1"/>
      <c r="CE28" s="1"/>
      <c r="CF28" s="1"/>
      <c r="CG28" s="1"/>
      <c r="CH28" s="1"/>
      <c r="CI28" s="1"/>
      <c r="CJ28" s="1"/>
      <c r="CK28" s="1"/>
      <c r="CL28" s="1"/>
      <c r="CM28" s="1"/>
      <c r="CN28" s="1"/>
      <c r="CO28" s="1"/>
    </row>
    <row r="29" spans="1:93" ht="18.75" customHeight="1" x14ac:dyDescent="0.15">
      <c r="A29" s="6"/>
      <c r="D29" s="1" t="s">
        <v>3309</v>
      </c>
      <c r="E29" s="1" t="s">
        <v>3302</v>
      </c>
      <c r="F29" s="1" t="s">
        <v>3310</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row>
    <row r="30" spans="1:93" ht="18.75" customHeight="1" x14ac:dyDescent="0.15">
      <c r="A30" s="6"/>
      <c r="D30" s="1" t="s">
        <v>3311</v>
      </c>
      <c r="E30" s="1" t="s">
        <v>3312</v>
      </c>
      <c r="F30" s="1" t="s">
        <v>3313</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row>
    <row r="31" spans="1:93" ht="126.75" customHeight="1" x14ac:dyDescent="0.15">
      <c r="A31" s="6"/>
      <c r="D31" s="1" t="s">
        <v>100</v>
      </c>
      <c r="E31" s="1" t="s">
        <v>3314</v>
      </c>
      <c r="F31" s="1" t="s">
        <v>1878</v>
      </c>
      <c r="G31" s="1"/>
      <c r="H31" s="1"/>
      <c r="I31" s="1">
        <v>0</v>
      </c>
      <c r="J31" s="1"/>
      <c r="K31" s="1">
        <v>0</v>
      </c>
      <c r="L31" s="1"/>
      <c r="M31" s="1">
        <v>0</v>
      </c>
      <c r="N31" s="1"/>
      <c r="O31" s="1">
        <v>0</v>
      </c>
      <c r="P31" s="1"/>
      <c r="Q31" s="1">
        <v>0</v>
      </c>
      <c r="R31" s="1"/>
      <c r="S31" s="1">
        <v>0</v>
      </c>
      <c r="T31" s="1"/>
      <c r="U31" s="1">
        <v>0</v>
      </c>
      <c r="V31" s="1"/>
      <c r="W31" s="1">
        <v>0</v>
      </c>
      <c r="X31" s="1"/>
      <c r="Y31" s="1">
        <v>0</v>
      </c>
      <c r="Z31" s="1"/>
      <c r="AA31" s="1">
        <v>0</v>
      </c>
      <c r="AB31" s="1"/>
      <c r="AC31" s="1">
        <v>0</v>
      </c>
      <c r="AD31" s="1"/>
      <c r="AE31" s="1">
        <v>0</v>
      </c>
      <c r="AF31" s="1"/>
      <c r="AG31" s="1">
        <v>0</v>
      </c>
      <c r="AH31" s="1"/>
      <c r="AI31" s="1">
        <v>0</v>
      </c>
      <c r="AJ31" s="1"/>
      <c r="AK31" s="1">
        <v>0</v>
      </c>
      <c r="AL31" s="1"/>
      <c r="AM31" s="1">
        <v>0</v>
      </c>
      <c r="AN31" s="1"/>
      <c r="AO31" s="1">
        <v>0</v>
      </c>
      <c r="AP31" s="1"/>
      <c r="AQ31" s="1">
        <v>100</v>
      </c>
      <c r="AR31" s="1"/>
      <c r="AS31" s="1">
        <v>0</v>
      </c>
      <c r="AT31" s="1"/>
      <c r="AU31" s="1">
        <v>0</v>
      </c>
      <c r="AV31" s="1"/>
      <c r="AW31" s="1">
        <v>100</v>
      </c>
      <c r="AX31" s="1"/>
      <c r="AY31" s="1">
        <v>0</v>
      </c>
      <c r="AZ31" s="1"/>
      <c r="BA31" s="1">
        <v>100</v>
      </c>
      <c r="BB31" s="1"/>
      <c r="BC31" s="1">
        <v>0</v>
      </c>
      <c r="BD31" s="1"/>
      <c r="BE31" s="1">
        <v>100</v>
      </c>
      <c r="BF31" s="1"/>
      <c r="BG31" s="1">
        <v>0</v>
      </c>
      <c r="BH31" s="1"/>
      <c r="BI31" s="1">
        <v>0</v>
      </c>
      <c r="BJ31" s="1"/>
      <c r="BK31" s="1">
        <v>0</v>
      </c>
      <c r="BL31" s="1"/>
      <c r="BM31" s="1">
        <v>0</v>
      </c>
      <c r="BN31" s="1"/>
      <c r="BO31" s="1">
        <v>0</v>
      </c>
      <c r="BP31" s="1"/>
      <c r="BQ31" s="1">
        <v>0</v>
      </c>
      <c r="BR31" s="1"/>
      <c r="BS31" s="1">
        <v>0</v>
      </c>
      <c r="BT31" s="1"/>
      <c r="BU31" s="1">
        <v>0</v>
      </c>
      <c r="BV31" s="1"/>
      <c r="BW31" s="1" t="s">
        <v>3315</v>
      </c>
      <c r="BX31" s="1"/>
      <c r="BY31" s="1"/>
      <c r="BZ31" s="1"/>
      <c r="CA31" s="1"/>
      <c r="CB31" s="1"/>
      <c r="CC31" s="1"/>
      <c r="CD31" s="1"/>
      <c r="CE31" s="1"/>
      <c r="CF31" s="1"/>
      <c r="CG31" s="1"/>
      <c r="CH31" s="1"/>
      <c r="CI31" s="1"/>
      <c r="CJ31" s="1"/>
      <c r="CK31" s="1"/>
      <c r="CL31" s="1"/>
      <c r="CM31" s="1"/>
      <c r="CN31" s="1"/>
      <c r="CO31" s="1"/>
    </row>
    <row r="32" spans="1:93" ht="56.25" customHeight="1" x14ac:dyDescent="0.15">
      <c r="A32" s="6"/>
      <c r="D32" s="1" t="s">
        <v>79</v>
      </c>
      <c r="E32" s="1" t="s">
        <v>3316</v>
      </c>
      <c r="F32" s="1" t="s">
        <v>1873</v>
      </c>
      <c r="G32" s="1"/>
      <c r="H32" s="1"/>
      <c r="I32" s="1">
        <v>0</v>
      </c>
      <c r="J32" s="1"/>
      <c r="K32" s="1">
        <v>0</v>
      </c>
      <c r="L32" s="1"/>
      <c r="M32" s="1">
        <v>0</v>
      </c>
      <c r="N32" s="1"/>
      <c r="O32" s="1">
        <v>0</v>
      </c>
      <c r="P32" s="1"/>
      <c r="Q32" s="1">
        <v>0</v>
      </c>
      <c r="R32" s="1"/>
      <c r="S32" s="1">
        <v>0</v>
      </c>
      <c r="T32" s="1"/>
      <c r="U32" s="1">
        <v>0</v>
      </c>
      <c r="V32" s="1"/>
      <c r="W32" s="1">
        <v>0</v>
      </c>
      <c r="X32" s="1"/>
      <c r="Y32" s="1">
        <v>0</v>
      </c>
      <c r="Z32" s="1"/>
      <c r="AA32" s="1">
        <v>0</v>
      </c>
      <c r="AB32" s="1"/>
      <c r="AC32" s="1">
        <v>0</v>
      </c>
      <c r="AD32" s="1"/>
      <c r="AE32" s="1">
        <v>0</v>
      </c>
      <c r="AF32" s="1"/>
      <c r="AG32" s="1">
        <v>0</v>
      </c>
      <c r="AH32" s="1"/>
      <c r="AI32" s="1">
        <v>0</v>
      </c>
      <c r="AJ32" s="1"/>
      <c r="AK32" s="1">
        <v>0</v>
      </c>
      <c r="AL32" s="1"/>
      <c r="AM32" s="1">
        <v>0</v>
      </c>
      <c r="AN32" s="1"/>
      <c r="AO32" s="1">
        <v>0</v>
      </c>
      <c r="AP32" s="1"/>
      <c r="AQ32" s="1">
        <v>25</v>
      </c>
      <c r="AR32" s="1"/>
      <c r="AS32" s="1">
        <v>0</v>
      </c>
      <c r="AT32" s="1"/>
      <c r="AU32" s="1">
        <v>0</v>
      </c>
      <c r="AV32" s="1"/>
      <c r="AW32" s="1">
        <v>25</v>
      </c>
      <c r="AX32" s="1"/>
      <c r="AY32" s="1">
        <v>0</v>
      </c>
      <c r="AZ32" s="1"/>
      <c r="BA32" s="1">
        <v>25</v>
      </c>
      <c r="BB32" s="1"/>
      <c r="BC32" s="1">
        <v>0</v>
      </c>
      <c r="BD32" s="1"/>
      <c r="BE32" s="1">
        <v>25</v>
      </c>
      <c r="BF32" s="1"/>
      <c r="BG32" s="1">
        <v>0</v>
      </c>
      <c r="BH32" s="1"/>
      <c r="BI32" s="1">
        <v>0</v>
      </c>
      <c r="BJ32" s="1"/>
      <c r="BK32" s="1">
        <v>0</v>
      </c>
      <c r="BL32" s="1"/>
      <c r="BM32" s="1">
        <v>0</v>
      </c>
      <c r="BN32" s="1"/>
      <c r="BO32" s="1">
        <v>0</v>
      </c>
      <c r="BP32" s="1"/>
      <c r="BQ32" s="1">
        <v>0</v>
      </c>
      <c r="BR32" s="1"/>
      <c r="BS32" s="1">
        <v>0</v>
      </c>
      <c r="BT32" s="1"/>
      <c r="BU32" s="1">
        <v>0</v>
      </c>
      <c r="BV32" s="1"/>
      <c r="BW32" s="1" t="s">
        <v>3317</v>
      </c>
      <c r="BX32" s="1"/>
      <c r="BY32" s="1"/>
      <c r="BZ32" s="1"/>
      <c r="CA32" s="1"/>
      <c r="CB32" s="1"/>
      <c r="CC32" s="1"/>
      <c r="CD32" s="1"/>
      <c r="CE32" s="1"/>
      <c r="CF32" s="1"/>
      <c r="CG32" s="1"/>
      <c r="CH32" s="1"/>
      <c r="CI32" s="1"/>
      <c r="CJ32" s="1"/>
      <c r="CK32" s="1"/>
      <c r="CL32" s="1"/>
      <c r="CM32" s="1"/>
      <c r="CN32" s="1"/>
      <c r="CO32" s="1"/>
    </row>
    <row r="33" spans="1:93" ht="11.25" customHeight="1" x14ac:dyDescent="0.15">
      <c r="A33" s="6"/>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row>
    <row r="34" spans="1:93" ht="12.75" customHeight="1" x14ac:dyDescent="0.15">
      <c r="A34" s="6"/>
      <c r="D34">
        <v>1</v>
      </c>
      <c r="E34" t="s">
        <v>3318</v>
      </c>
    </row>
    <row r="35" spans="1:93" ht="11.25" customHeight="1" x14ac:dyDescent="0.15">
      <c r="A35" s="6"/>
      <c r="E35" t="s">
        <v>3319</v>
      </c>
    </row>
    <row r="37" spans="1:93" ht="22.5" hidden="1" customHeight="1" x14ac:dyDescent="0.15">
      <c r="A37" s="6" t="s">
        <v>694</v>
      </c>
      <c r="D37">
        <v>1</v>
      </c>
      <c r="E37" t="s">
        <v>3320</v>
      </c>
      <c r="F37" t="s">
        <v>1861</v>
      </c>
      <c r="BW37" t="s">
        <v>3321</v>
      </c>
    </row>
    <row r="38" spans="1:93" ht="22.5" hidden="1" customHeight="1" x14ac:dyDescent="0.15">
      <c r="A38" s="6"/>
      <c r="D38" t="s">
        <v>89</v>
      </c>
      <c r="E38" t="s">
        <v>3322</v>
      </c>
      <c r="F38" t="s">
        <v>1692</v>
      </c>
      <c r="G38" t="s">
        <v>1692</v>
      </c>
      <c r="I38" t="s">
        <v>1692</v>
      </c>
      <c r="K38" t="s">
        <v>1692</v>
      </c>
      <c r="M38" t="s">
        <v>1692</v>
      </c>
      <c r="O38" t="s">
        <v>1692</v>
      </c>
      <c r="Q38" t="s">
        <v>1692</v>
      </c>
      <c r="S38" t="s">
        <v>1692</v>
      </c>
      <c r="U38" t="s">
        <v>1692</v>
      </c>
      <c r="W38" t="s">
        <v>1692</v>
      </c>
      <c r="Y38" t="s">
        <v>1692</v>
      </c>
      <c r="AA38" t="s">
        <v>1692</v>
      </c>
      <c r="AC38" t="s">
        <v>1692</v>
      </c>
      <c r="AE38" t="s">
        <v>1692</v>
      </c>
      <c r="AG38" t="s">
        <v>1692</v>
      </c>
      <c r="AI38" t="s">
        <v>1692</v>
      </c>
      <c r="AK38" t="s">
        <v>1692</v>
      </c>
      <c r="AM38" t="s">
        <v>1692</v>
      </c>
      <c r="AO38" t="s">
        <v>1692</v>
      </c>
      <c r="AQ38" t="s">
        <v>1692</v>
      </c>
      <c r="AS38" t="s">
        <v>1692</v>
      </c>
      <c r="AU38" t="s">
        <v>1692</v>
      </c>
      <c r="AW38" t="s">
        <v>1692</v>
      </c>
      <c r="AY38" t="s">
        <v>1692</v>
      </c>
      <c r="BA38" t="s">
        <v>1692</v>
      </c>
      <c r="BC38" t="s">
        <v>1692</v>
      </c>
      <c r="BE38" t="s">
        <v>1692</v>
      </c>
      <c r="BG38" t="s">
        <v>1692</v>
      </c>
      <c r="BI38" t="s">
        <v>1692</v>
      </c>
      <c r="BK38" t="s">
        <v>1692</v>
      </c>
      <c r="BM38" t="s">
        <v>1692</v>
      </c>
      <c r="BO38" t="s">
        <v>1692</v>
      </c>
      <c r="BQ38" t="s">
        <v>1692</v>
      </c>
      <c r="BS38" t="s">
        <v>1692</v>
      </c>
      <c r="BU38" t="s">
        <v>1692</v>
      </c>
    </row>
    <row r="39" spans="1:93" ht="33.75" hidden="1" customHeight="1" x14ac:dyDescent="0.15">
      <c r="A39" s="6"/>
      <c r="D39" t="s">
        <v>1717</v>
      </c>
      <c r="E39" t="s">
        <v>3323</v>
      </c>
      <c r="F39" t="s">
        <v>3324</v>
      </c>
      <c r="BW39" t="s">
        <v>3325</v>
      </c>
    </row>
    <row r="40" spans="1:93" ht="33.75" hidden="1" customHeight="1" x14ac:dyDescent="0.15">
      <c r="A40" s="6"/>
      <c r="D40" t="s">
        <v>3235</v>
      </c>
      <c r="E40" t="s">
        <v>3326</v>
      </c>
      <c r="F40" t="s">
        <v>3327</v>
      </c>
      <c r="BW40" t="s">
        <v>3328</v>
      </c>
    </row>
    <row r="41" spans="1:93" ht="22.5" hidden="1" customHeight="1" x14ac:dyDescent="0.15">
      <c r="A41" s="6"/>
      <c r="D41" t="s">
        <v>77</v>
      </c>
      <c r="E41" t="s">
        <v>3329</v>
      </c>
      <c r="F41" t="s">
        <v>1692</v>
      </c>
      <c r="G41" t="s">
        <v>1692</v>
      </c>
      <c r="I41" t="s">
        <v>1692</v>
      </c>
      <c r="K41" t="s">
        <v>1692</v>
      </c>
      <c r="M41" t="s">
        <v>1692</v>
      </c>
      <c r="O41" t="s">
        <v>1692</v>
      </c>
      <c r="Q41" t="s">
        <v>1692</v>
      </c>
      <c r="S41" t="s">
        <v>1692</v>
      </c>
      <c r="U41" t="s">
        <v>1692</v>
      </c>
      <c r="W41" t="s">
        <v>1692</v>
      </c>
      <c r="Y41" t="s">
        <v>1692</v>
      </c>
      <c r="AA41" t="s">
        <v>1692</v>
      </c>
      <c r="AC41" t="s">
        <v>1692</v>
      </c>
      <c r="AE41" t="s">
        <v>1692</v>
      </c>
      <c r="AG41" t="s">
        <v>1692</v>
      </c>
      <c r="AI41" t="s">
        <v>1692</v>
      </c>
      <c r="AK41" t="s">
        <v>1692</v>
      </c>
      <c r="AM41" t="s">
        <v>1692</v>
      </c>
      <c r="AO41" t="s">
        <v>1692</v>
      </c>
      <c r="AQ41" t="s">
        <v>1692</v>
      </c>
      <c r="AS41" t="s">
        <v>1692</v>
      </c>
      <c r="AU41" t="s">
        <v>1692</v>
      </c>
      <c r="AW41" t="s">
        <v>1692</v>
      </c>
      <c r="AY41" t="s">
        <v>1692</v>
      </c>
      <c r="BA41" t="s">
        <v>1692</v>
      </c>
      <c r="BC41" t="s">
        <v>1692</v>
      </c>
      <c r="BE41" t="s">
        <v>1692</v>
      </c>
      <c r="BG41" t="s">
        <v>1692</v>
      </c>
      <c r="BI41" t="s">
        <v>1692</v>
      </c>
      <c r="BK41" t="s">
        <v>1692</v>
      </c>
      <c r="BM41" t="s">
        <v>1692</v>
      </c>
      <c r="BO41" t="s">
        <v>1692</v>
      </c>
      <c r="BQ41" t="s">
        <v>1692</v>
      </c>
      <c r="BS41" t="s">
        <v>1692</v>
      </c>
      <c r="BU41" t="s">
        <v>1692</v>
      </c>
    </row>
    <row r="42" spans="1:93" ht="45" hidden="1" customHeight="1" x14ac:dyDescent="0.15">
      <c r="A42" s="6"/>
      <c r="D42" t="s">
        <v>619</v>
      </c>
      <c r="E42" t="s">
        <v>3330</v>
      </c>
      <c r="F42" t="s">
        <v>1878</v>
      </c>
      <c r="BW42" t="s">
        <v>3331</v>
      </c>
    </row>
    <row r="43" spans="1:93" ht="45" hidden="1" customHeight="1" x14ac:dyDescent="0.15">
      <c r="A43" s="6"/>
      <c r="D43" t="s">
        <v>627</v>
      </c>
      <c r="E43" t="s">
        <v>3332</v>
      </c>
      <c r="F43" t="s">
        <v>1878</v>
      </c>
      <c r="BW43" t="s">
        <v>3333</v>
      </c>
    </row>
    <row r="44" spans="1:93" ht="11.25" hidden="1" customHeight="1" x14ac:dyDescent="0.15">
      <c r="A44" s="6"/>
      <c r="D44" t="s">
        <v>78</v>
      </c>
      <c r="E44" t="s">
        <v>3334</v>
      </c>
      <c r="F44" t="s">
        <v>3324</v>
      </c>
    </row>
    <row r="45" spans="1:93" ht="11.25" hidden="1" customHeight="1" x14ac:dyDescent="0.15">
      <c r="A45" s="6"/>
      <c r="D45" t="s">
        <v>907</v>
      </c>
      <c r="E45" t="s">
        <v>3335</v>
      </c>
      <c r="F45" t="s">
        <v>3324</v>
      </c>
    </row>
    <row r="46" spans="1:93" ht="11.25" hidden="1" customHeight="1" x14ac:dyDescent="0.15">
      <c r="A46" s="6"/>
      <c r="D46" t="s">
        <v>926</v>
      </c>
      <c r="E46" t="s">
        <v>3336</v>
      </c>
      <c r="F46" t="s">
        <v>3324</v>
      </c>
    </row>
    <row r="47" spans="1:93" ht="11.25" hidden="1" customHeight="1" x14ac:dyDescent="0.15">
      <c r="A47" s="6"/>
      <c r="D47" t="s">
        <v>1874</v>
      </c>
      <c r="E47" t="s">
        <v>3337</v>
      </c>
      <c r="F47" t="s">
        <v>3324</v>
      </c>
    </row>
    <row r="48" spans="1:93" ht="11.25" hidden="1" customHeight="1" x14ac:dyDescent="0.15">
      <c r="A48" s="6"/>
      <c r="D48" t="s">
        <v>3338</v>
      </c>
      <c r="E48" t="s">
        <v>3339</v>
      </c>
      <c r="F48" t="s">
        <v>3324</v>
      </c>
    </row>
    <row r="49" spans="1:75" ht="11.25" hidden="1" customHeight="1" x14ac:dyDescent="0.15">
      <c r="A49" s="6"/>
      <c r="D49" t="s">
        <v>3340</v>
      </c>
      <c r="E49" t="s">
        <v>3341</v>
      </c>
      <c r="F49" t="s">
        <v>3324</v>
      </c>
    </row>
    <row r="50" spans="1:75" ht="11.25" hidden="1" customHeight="1" x14ac:dyDescent="0.15">
      <c r="A50" s="6"/>
      <c r="D50" t="s">
        <v>3342</v>
      </c>
      <c r="E50" t="s">
        <v>3343</v>
      </c>
      <c r="F50" t="s">
        <v>3324</v>
      </c>
    </row>
    <row r="51" spans="1:75" ht="11.25" hidden="1" customHeight="1" x14ac:dyDescent="0.15">
      <c r="A51" s="6"/>
      <c r="D51" t="s">
        <v>3344</v>
      </c>
      <c r="E51" t="s">
        <v>3345</v>
      </c>
      <c r="F51" t="s">
        <v>3324</v>
      </c>
    </row>
    <row r="52" spans="1:75" ht="45" hidden="1" customHeight="1" x14ac:dyDescent="0.15">
      <c r="A52" s="6"/>
      <c r="D52" t="s">
        <v>100</v>
      </c>
      <c r="E52" t="s">
        <v>3346</v>
      </c>
      <c r="F52" t="s">
        <v>3324</v>
      </c>
    </row>
    <row r="53" spans="1:75" ht="11.25" hidden="1" customHeight="1" x14ac:dyDescent="0.15">
      <c r="A53" s="6"/>
      <c r="D53" t="s">
        <v>608</v>
      </c>
      <c r="E53" t="s">
        <v>3335</v>
      </c>
      <c r="F53" t="s">
        <v>3324</v>
      </c>
    </row>
    <row r="54" spans="1:75" ht="11.25" hidden="1" customHeight="1" x14ac:dyDescent="0.15">
      <c r="A54" s="6"/>
      <c r="D54" t="s">
        <v>610</v>
      </c>
      <c r="E54" t="s">
        <v>3336</v>
      </c>
      <c r="F54" t="s">
        <v>3324</v>
      </c>
    </row>
    <row r="55" spans="1:75" ht="11.25" hidden="1" customHeight="1" x14ac:dyDescent="0.15">
      <c r="A55" s="6"/>
      <c r="D55" t="s">
        <v>613</v>
      </c>
      <c r="E55" t="s">
        <v>3337</v>
      </c>
      <c r="F55" t="s">
        <v>3324</v>
      </c>
    </row>
    <row r="56" spans="1:75" ht="11.25" hidden="1" customHeight="1" x14ac:dyDescent="0.15">
      <c r="A56" s="6"/>
      <c r="D56" t="s">
        <v>1854</v>
      </c>
      <c r="E56" t="s">
        <v>3339</v>
      </c>
      <c r="F56" t="s">
        <v>3324</v>
      </c>
    </row>
    <row r="57" spans="1:75" ht="11.25" hidden="1" customHeight="1" x14ac:dyDescent="0.15">
      <c r="A57" s="6"/>
      <c r="D57" t="s">
        <v>3347</v>
      </c>
      <c r="E57" t="s">
        <v>3341</v>
      </c>
      <c r="F57" t="s">
        <v>3324</v>
      </c>
    </row>
    <row r="58" spans="1:75" ht="11.25" hidden="1" customHeight="1" x14ac:dyDescent="0.15">
      <c r="A58" s="6"/>
      <c r="D58" t="s">
        <v>615</v>
      </c>
      <c r="E58" t="s">
        <v>3343</v>
      </c>
      <c r="F58" t="s">
        <v>3324</v>
      </c>
    </row>
    <row r="59" spans="1:75" ht="11.25" hidden="1" customHeight="1" x14ac:dyDescent="0.15">
      <c r="A59" s="6"/>
      <c r="D59" t="s">
        <v>3348</v>
      </c>
      <c r="E59" t="s">
        <v>3345</v>
      </c>
      <c r="F59" t="s">
        <v>3324</v>
      </c>
    </row>
    <row r="60" spans="1:75" ht="33.75" hidden="1" customHeight="1" x14ac:dyDescent="0.15">
      <c r="A60" s="6"/>
      <c r="D60" t="s">
        <v>79</v>
      </c>
      <c r="E60" t="s">
        <v>3349</v>
      </c>
      <c r="F60" t="s">
        <v>1878</v>
      </c>
      <c r="BW60" t="s">
        <v>3350</v>
      </c>
    </row>
    <row r="61" spans="1:75" ht="33.75" hidden="1" customHeight="1" x14ac:dyDescent="0.15">
      <c r="A61" s="6"/>
      <c r="D61" t="s">
        <v>80</v>
      </c>
      <c r="E61" t="s">
        <v>3351</v>
      </c>
      <c r="F61" t="s">
        <v>1873</v>
      </c>
    </row>
    <row r="62" spans="1:75" ht="22.5" hidden="1" customHeight="1" x14ac:dyDescent="0.15">
      <c r="A62" s="6"/>
      <c r="B62" t="s">
        <v>2616</v>
      </c>
      <c r="D62" t="s">
        <v>102</v>
      </c>
      <c r="E62" t="s">
        <v>3352</v>
      </c>
      <c r="F62" t="s">
        <v>599</v>
      </c>
      <c r="BW62" t="s">
        <v>1004</v>
      </c>
    </row>
    <row r="63" spans="1:75" ht="45" hidden="1" customHeight="1" x14ac:dyDescent="0.15">
      <c r="A63" s="6"/>
      <c r="B63" t="s">
        <v>2616</v>
      </c>
      <c r="D63" t="s">
        <v>3353</v>
      </c>
      <c r="E63" t="s">
        <v>3354</v>
      </c>
      <c r="F63" t="s">
        <v>599</v>
      </c>
      <c r="BW63" t="s">
        <v>1004</v>
      </c>
    </row>
    <row r="65" spans="1:75" ht="22.5" hidden="1" customHeight="1" x14ac:dyDescent="0.15">
      <c r="A65" s="6" t="s">
        <v>696</v>
      </c>
      <c r="D65">
        <v>1</v>
      </c>
      <c r="E65" t="s">
        <v>3355</v>
      </c>
      <c r="F65" t="s">
        <v>1861</v>
      </c>
      <c r="BW65" t="s">
        <v>3356</v>
      </c>
    </row>
    <row r="66" spans="1:75" ht="56.25" hidden="1" customHeight="1" x14ac:dyDescent="0.15">
      <c r="A66" s="6"/>
      <c r="D66" t="s">
        <v>89</v>
      </c>
      <c r="E66" t="s">
        <v>3357</v>
      </c>
      <c r="F66" t="s">
        <v>1692</v>
      </c>
      <c r="G66" t="s">
        <v>1692</v>
      </c>
      <c r="I66" t="s">
        <v>1692</v>
      </c>
      <c r="K66" t="s">
        <v>1692</v>
      </c>
      <c r="M66" t="s">
        <v>1692</v>
      </c>
      <c r="O66" t="s">
        <v>1692</v>
      </c>
      <c r="Q66" t="s">
        <v>1692</v>
      </c>
      <c r="S66" t="s">
        <v>1692</v>
      </c>
      <c r="U66" t="s">
        <v>1692</v>
      </c>
      <c r="W66" t="s">
        <v>1692</v>
      </c>
      <c r="Y66" t="s">
        <v>1692</v>
      </c>
      <c r="AA66" t="s">
        <v>1692</v>
      </c>
      <c r="AC66" t="s">
        <v>1692</v>
      </c>
      <c r="AE66" t="s">
        <v>1692</v>
      </c>
      <c r="AG66" t="s">
        <v>1692</v>
      </c>
      <c r="AI66" t="s">
        <v>1692</v>
      </c>
      <c r="AK66" t="s">
        <v>1692</v>
      </c>
      <c r="AM66" t="s">
        <v>1692</v>
      </c>
      <c r="AO66" t="s">
        <v>1692</v>
      </c>
      <c r="AQ66" t="s">
        <v>1692</v>
      </c>
      <c r="AS66" t="s">
        <v>1692</v>
      </c>
      <c r="AU66" t="s">
        <v>1692</v>
      </c>
      <c r="AW66" t="s">
        <v>1692</v>
      </c>
      <c r="AY66" t="s">
        <v>1692</v>
      </c>
      <c r="BA66" t="s">
        <v>1692</v>
      </c>
      <c r="BC66" t="s">
        <v>1692</v>
      </c>
      <c r="BE66" t="s">
        <v>1692</v>
      </c>
      <c r="BG66" t="s">
        <v>1692</v>
      </c>
      <c r="BI66" t="s">
        <v>1692</v>
      </c>
      <c r="BK66" t="s">
        <v>1692</v>
      </c>
      <c r="BM66" t="s">
        <v>1692</v>
      </c>
      <c r="BO66" t="s">
        <v>1692</v>
      </c>
      <c r="BQ66" t="s">
        <v>1692</v>
      </c>
      <c r="BS66" t="s">
        <v>1692</v>
      </c>
      <c r="BU66" t="s">
        <v>1692</v>
      </c>
    </row>
    <row r="67" spans="1:75" ht="33.75" hidden="1" customHeight="1" x14ac:dyDescent="0.15">
      <c r="A67" s="6"/>
      <c r="D67" t="s">
        <v>799</v>
      </c>
      <c r="E67" t="s">
        <v>3358</v>
      </c>
      <c r="F67" t="s">
        <v>3327</v>
      </c>
    </row>
    <row r="68" spans="1:75" ht="22.5" hidden="1" customHeight="1" x14ac:dyDescent="0.15">
      <c r="A68" s="6"/>
      <c r="D68" t="s">
        <v>600</v>
      </c>
      <c r="E68" t="s">
        <v>3359</v>
      </c>
      <c r="F68" t="s">
        <v>3327</v>
      </c>
    </row>
    <row r="69" spans="1:75" ht="22.5" hidden="1" customHeight="1" x14ac:dyDescent="0.15">
      <c r="A69" s="6"/>
      <c r="D69" t="s">
        <v>603</v>
      </c>
      <c r="E69" t="s">
        <v>3360</v>
      </c>
      <c r="F69" t="s">
        <v>1878</v>
      </c>
    </row>
    <row r="70" spans="1:75" ht="22.5" hidden="1" customHeight="1" x14ac:dyDescent="0.15">
      <c r="A70" s="6"/>
      <c r="D70" t="s">
        <v>808</v>
      </c>
      <c r="E70" t="s">
        <v>3361</v>
      </c>
      <c r="F70" t="s">
        <v>1878</v>
      </c>
    </row>
    <row r="71" spans="1:75" ht="22.5" hidden="1" customHeight="1" x14ac:dyDescent="0.15">
      <c r="A71" s="6"/>
      <c r="D71" t="s">
        <v>77</v>
      </c>
      <c r="E71" t="s">
        <v>3362</v>
      </c>
      <c r="F71" t="s">
        <v>3327</v>
      </c>
    </row>
    <row r="72" spans="1:75" ht="56.25" hidden="1" customHeight="1" x14ac:dyDescent="0.15">
      <c r="A72" s="6"/>
      <c r="D72" t="s">
        <v>78</v>
      </c>
      <c r="E72" t="s">
        <v>3363</v>
      </c>
      <c r="F72" t="s">
        <v>1878</v>
      </c>
    </row>
    <row r="73" spans="1:75" ht="33.75" hidden="1" customHeight="1" x14ac:dyDescent="0.15">
      <c r="A73" s="6"/>
      <c r="D73" t="s">
        <v>100</v>
      </c>
      <c r="E73" t="s">
        <v>3364</v>
      </c>
      <c r="F73" t="s">
        <v>1873</v>
      </c>
    </row>
    <row r="74" spans="1:75" ht="22.5" hidden="1" customHeight="1" x14ac:dyDescent="0.15">
      <c r="A74" s="6"/>
      <c r="B74" t="s">
        <v>2616</v>
      </c>
      <c r="D74" t="s">
        <v>79</v>
      </c>
      <c r="E74" t="s">
        <v>3365</v>
      </c>
      <c r="F74" t="s">
        <v>599</v>
      </c>
      <c r="BW74" t="s">
        <v>1004</v>
      </c>
    </row>
    <row r="75" spans="1:75" ht="45" hidden="1" customHeight="1" x14ac:dyDescent="0.15">
      <c r="A75" s="6"/>
      <c r="B75" t="s">
        <v>2616</v>
      </c>
      <c r="D75" t="s">
        <v>812</v>
      </c>
      <c r="E75" t="s">
        <v>3366</v>
      </c>
      <c r="F75" t="s">
        <v>599</v>
      </c>
      <c r="BW75" t="s">
        <v>1004</v>
      </c>
    </row>
    <row r="77" spans="1:75" ht="11.25" hidden="1" customHeight="1" x14ac:dyDescent="0.15">
      <c r="A77" s="6" t="s">
        <v>695</v>
      </c>
      <c r="D77">
        <v>1</v>
      </c>
      <c r="E77" t="s">
        <v>3367</v>
      </c>
      <c r="F77" t="s">
        <v>1861</v>
      </c>
      <c r="BW77" t="s">
        <v>3368</v>
      </c>
    </row>
    <row r="78" spans="1:75" ht="11.25" hidden="1" customHeight="1" x14ac:dyDescent="0.15">
      <c r="A78" s="6"/>
      <c r="D78" t="s">
        <v>89</v>
      </c>
      <c r="E78" t="s">
        <v>3369</v>
      </c>
      <c r="F78" t="s">
        <v>1861</v>
      </c>
      <c r="BW78" t="s">
        <v>3370</v>
      </c>
    </row>
    <row r="79" spans="1:75" ht="22.5" hidden="1" customHeight="1" x14ac:dyDescent="0.15">
      <c r="A79" s="6"/>
      <c r="D79" t="s">
        <v>77</v>
      </c>
      <c r="E79" t="s">
        <v>3371</v>
      </c>
      <c r="F79" t="s">
        <v>3324</v>
      </c>
      <c r="BW79" t="s">
        <v>3372</v>
      </c>
    </row>
    <row r="80" spans="1:75" ht="11.25" hidden="1" customHeight="1" x14ac:dyDescent="0.15">
      <c r="A80" s="6"/>
      <c r="D80" t="s">
        <v>619</v>
      </c>
      <c r="E80" t="s">
        <v>3373</v>
      </c>
      <c r="F80" t="s">
        <v>3324</v>
      </c>
    </row>
    <row r="81" spans="1:75" ht="11.25" hidden="1" customHeight="1" x14ac:dyDescent="0.15">
      <c r="A81" s="6"/>
      <c r="D81" t="s">
        <v>627</v>
      </c>
      <c r="E81" t="s">
        <v>3374</v>
      </c>
      <c r="F81" t="s">
        <v>3324</v>
      </c>
    </row>
    <row r="82" spans="1:75" ht="11.25" hidden="1" customHeight="1" x14ac:dyDescent="0.15">
      <c r="A82" s="6"/>
      <c r="D82" t="s">
        <v>629</v>
      </c>
      <c r="E82" t="s">
        <v>3375</v>
      </c>
      <c r="F82" t="s">
        <v>3324</v>
      </c>
    </row>
    <row r="83" spans="1:75" ht="11.25" hidden="1" customHeight="1" x14ac:dyDescent="0.15">
      <c r="A83" s="6"/>
      <c r="D83" t="s">
        <v>631</v>
      </c>
      <c r="E83" t="s">
        <v>3376</v>
      </c>
      <c r="F83" t="s">
        <v>3324</v>
      </c>
    </row>
    <row r="84" spans="1:75" ht="11.25" hidden="1" customHeight="1" x14ac:dyDescent="0.15">
      <c r="A84" s="6"/>
      <c r="D84" t="s">
        <v>3377</v>
      </c>
      <c r="E84" t="s">
        <v>3378</v>
      </c>
      <c r="F84" t="s">
        <v>3324</v>
      </c>
    </row>
    <row r="85" spans="1:75" ht="11.25" hidden="1" customHeight="1" x14ac:dyDescent="0.15">
      <c r="A85" s="6"/>
      <c r="D85" t="s">
        <v>3379</v>
      </c>
      <c r="E85" t="s">
        <v>3380</v>
      </c>
      <c r="F85" t="s">
        <v>3324</v>
      </c>
    </row>
    <row r="86" spans="1:75" ht="11.25" hidden="1" customHeight="1" x14ac:dyDescent="0.15">
      <c r="A86" s="6"/>
      <c r="D86" t="s">
        <v>3381</v>
      </c>
      <c r="E86" t="s">
        <v>3382</v>
      </c>
      <c r="F86" t="s">
        <v>3324</v>
      </c>
    </row>
    <row r="87" spans="1:75" ht="45" hidden="1" customHeight="1" x14ac:dyDescent="0.15">
      <c r="A87" s="6"/>
      <c r="D87" t="s">
        <v>78</v>
      </c>
      <c r="E87" t="s">
        <v>3383</v>
      </c>
      <c r="F87" t="s">
        <v>3324</v>
      </c>
      <c r="BW87" t="s">
        <v>3384</v>
      </c>
    </row>
    <row r="88" spans="1:75" ht="11.25" hidden="1" customHeight="1" x14ac:dyDescent="0.15">
      <c r="A88" s="6"/>
      <c r="D88" t="s">
        <v>907</v>
      </c>
      <c r="E88" t="s">
        <v>3373</v>
      </c>
      <c r="F88" t="s">
        <v>3324</v>
      </c>
    </row>
    <row r="89" spans="1:75" ht="11.25" hidden="1" customHeight="1" x14ac:dyDescent="0.15">
      <c r="A89" s="6"/>
      <c r="D89" t="s">
        <v>926</v>
      </c>
      <c r="E89" t="s">
        <v>3374</v>
      </c>
      <c r="F89" t="s">
        <v>3324</v>
      </c>
    </row>
    <row r="90" spans="1:75" ht="11.25" hidden="1" customHeight="1" x14ac:dyDescent="0.15">
      <c r="A90" s="6"/>
      <c r="D90" t="s">
        <v>1874</v>
      </c>
      <c r="E90" t="s">
        <v>3375</v>
      </c>
      <c r="F90" t="s">
        <v>3324</v>
      </c>
    </row>
    <row r="91" spans="1:75" ht="11.25" hidden="1" customHeight="1" x14ac:dyDescent="0.15">
      <c r="A91" s="6"/>
      <c r="D91" t="s">
        <v>3342</v>
      </c>
      <c r="E91" t="s">
        <v>3376</v>
      </c>
      <c r="F91" t="s">
        <v>3324</v>
      </c>
    </row>
    <row r="92" spans="1:75" ht="11.25" hidden="1" customHeight="1" x14ac:dyDescent="0.15">
      <c r="A92" s="6"/>
      <c r="D92" t="s">
        <v>3344</v>
      </c>
      <c r="E92" t="s">
        <v>3378</v>
      </c>
      <c r="F92" t="s">
        <v>3324</v>
      </c>
    </row>
    <row r="93" spans="1:75" ht="11.25" hidden="1" customHeight="1" x14ac:dyDescent="0.15">
      <c r="A93" s="6"/>
      <c r="D93" t="s">
        <v>3385</v>
      </c>
      <c r="E93" t="s">
        <v>3380</v>
      </c>
      <c r="F93" t="s">
        <v>3324</v>
      </c>
    </row>
    <row r="94" spans="1:75" ht="11.25" hidden="1" customHeight="1" x14ac:dyDescent="0.15">
      <c r="A94" s="6"/>
      <c r="D94" t="s">
        <v>3386</v>
      </c>
      <c r="E94" t="s">
        <v>3382</v>
      </c>
      <c r="F94" t="s">
        <v>3324</v>
      </c>
    </row>
    <row r="95" spans="1:75" ht="24.75" hidden="1" customHeight="1" x14ac:dyDescent="0.15">
      <c r="A95" s="6"/>
      <c r="D95" t="s">
        <v>100</v>
      </c>
      <c r="E95" t="s">
        <v>3387</v>
      </c>
      <c r="F95" t="s">
        <v>1878</v>
      </c>
      <c r="BW95" t="s">
        <v>3388</v>
      </c>
    </row>
    <row r="96" spans="1:75" ht="33.75" hidden="1" customHeight="1" x14ac:dyDescent="0.15">
      <c r="A96" s="6"/>
      <c r="D96" t="s">
        <v>79</v>
      </c>
      <c r="E96" t="s">
        <v>3389</v>
      </c>
      <c r="F96" t="s">
        <v>1873</v>
      </c>
    </row>
    <row r="97" spans="1:75" ht="22.5" hidden="1" customHeight="1" x14ac:dyDescent="0.15">
      <c r="A97" s="6"/>
      <c r="B97" t="s">
        <v>2616</v>
      </c>
      <c r="D97" t="s">
        <v>80</v>
      </c>
      <c r="E97" t="s">
        <v>3390</v>
      </c>
      <c r="F97" t="s">
        <v>599</v>
      </c>
      <c r="BW97" t="s">
        <v>1004</v>
      </c>
    </row>
    <row r="98" spans="1:75" ht="45" hidden="1" customHeight="1" x14ac:dyDescent="0.15">
      <c r="A98" s="6"/>
      <c r="B98" t="s">
        <v>2616</v>
      </c>
      <c r="D98" t="s">
        <v>1933</v>
      </c>
      <c r="E98" t="s">
        <v>3391</v>
      </c>
      <c r="F98" t="s">
        <v>599</v>
      </c>
      <c r="BW98" t="s">
        <v>1004</v>
      </c>
    </row>
    <row r="99" spans="1:75" ht="95.25" hidden="1" customHeight="1" x14ac:dyDescent="0.15">
      <c r="A99" s="6"/>
      <c r="B99" t="s">
        <v>2616</v>
      </c>
      <c r="D99" t="s">
        <v>102</v>
      </c>
      <c r="E99" t="s">
        <v>3392</v>
      </c>
      <c r="F99" t="s">
        <v>599</v>
      </c>
      <c r="BW99" t="s">
        <v>1004</v>
      </c>
    </row>
    <row r="100" spans="1:75" ht="22.5" hidden="1" customHeight="1" x14ac:dyDescent="0.15">
      <c r="A100" s="6"/>
      <c r="B100" t="s">
        <v>2616</v>
      </c>
      <c r="D100" t="s">
        <v>133</v>
      </c>
      <c r="E100" t="s">
        <v>3393</v>
      </c>
      <c r="F100" t="s">
        <v>599</v>
      </c>
      <c r="BW100" t="s">
        <v>1004</v>
      </c>
    </row>
  </sheetData>
  <sheetProtection formatColumns="0" formatRows="0" insertRows="0" deleteColumns="0" deleteRows="0" sort="0" autoFilter="0"/>
  <mergeCells count="114">
    <mergeCell ref="D3:F3"/>
    <mergeCell ref="BW7:BW11"/>
    <mergeCell ref="G7:H7"/>
    <mergeCell ref="E7:F7"/>
    <mergeCell ref="E8:F8"/>
    <mergeCell ref="E9:F9"/>
    <mergeCell ref="G8:H8"/>
    <mergeCell ref="G9:H9"/>
    <mergeCell ref="D4:F4"/>
    <mergeCell ref="I7:J7"/>
    <mergeCell ref="I8:J8"/>
    <mergeCell ref="I9:J9"/>
    <mergeCell ref="D10:J10"/>
    <mergeCell ref="O7:P7"/>
    <mergeCell ref="O8:P8"/>
    <mergeCell ref="O9:P9"/>
    <mergeCell ref="Q7:R7"/>
    <mergeCell ref="Q8:R8"/>
    <mergeCell ref="Q9:R9"/>
    <mergeCell ref="S7:T7"/>
    <mergeCell ref="S8:T8"/>
    <mergeCell ref="S9:T9"/>
    <mergeCell ref="U7:V7"/>
    <mergeCell ref="U8:V8"/>
    <mergeCell ref="A37:A63"/>
    <mergeCell ref="A65:A75"/>
    <mergeCell ref="A77:A100"/>
    <mergeCell ref="A13:A35"/>
    <mergeCell ref="A11:B11"/>
    <mergeCell ref="K7:L7"/>
    <mergeCell ref="K8:L8"/>
    <mergeCell ref="K9:L9"/>
    <mergeCell ref="M7:N7"/>
    <mergeCell ref="M8:N8"/>
    <mergeCell ref="M9:N9"/>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S7:BT7"/>
    <mergeCell ref="BS8:BT8"/>
    <mergeCell ref="BS9:BT9"/>
    <mergeCell ref="BU7:BV7"/>
    <mergeCell ref="BU8:BV8"/>
    <mergeCell ref="BU9:BV9"/>
    <mergeCell ref="BM7:BN7"/>
    <mergeCell ref="BM8:BN8"/>
    <mergeCell ref="BM9:BN9"/>
    <mergeCell ref="BO7:BP7"/>
    <mergeCell ref="BO8:BP8"/>
    <mergeCell ref="BO9:BP9"/>
    <mergeCell ref="BQ7:BR7"/>
    <mergeCell ref="BQ8:BR8"/>
    <mergeCell ref="BQ9:BR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J24 L24 N24 P24 R24 T24 V24 X24 Z24 AB24 AD24 AF24 AH24 AJ24 AL24 AN24 AP24 AR24 AT24 AV24 AX24 AZ24 BB24 BD24 BF24 BH24 BJ24 BL24 BN24 BP24 BR24 BT24 B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x14ac:dyDescent="0.15"/>
  <cols>
    <col min="1" max="4" width="6.7109375" hidden="1" customWidth="1"/>
    <col min="5" max="5" width="3.7109375" customWidth="1"/>
    <col min="6" max="6" width="6.28515625" customWidth="1"/>
    <col min="7" max="7" width="37.7109375" customWidth="1"/>
    <col min="8" max="8" width="16.5703125" customWidth="1"/>
    <col min="9" max="10" width="19.7109375" customWidth="1"/>
    <col min="11" max="11" width="25" customWidth="1"/>
    <col min="12" max="13" width="25.7109375" customWidth="1"/>
    <col min="14" max="16" width="17.7109375" customWidth="1"/>
    <col min="17" max="24" width="19.7109375" customWidth="1"/>
    <col min="25" max="25" width="8" customWidth="1"/>
    <col min="26" max="26" width="3.28515625" customWidth="1"/>
    <col min="27" max="27" width="6.28515625" customWidth="1"/>
    <col min="28" max="28" width="34.140625" customWidth="1"/>
  </cols>
  <sheetData>
    <row r="1" spans="6:30" ht="10.5" hidden="1" customHeight="1" x14ac:dyDescent="0.15"/>
    <row r="2" spans="6:30" ht="10.5" hidden="1" customHeight="1" x14ac:dyDescent="0.15"/>
    <row r="3" spans="6:30" ht="10.5" hidden="1" customHeight="1" x14ac:dyDescent="0.15"/>
    <row r="4" spans="6:30" ht="3" customHeight="1" x14ac:dyDescent="0.15"/>
    <row r="5" spans="6:30" ht="30" customHeight="1" x14ac:dyDescent="0.15">
      <c r="F5" s="6" t="s">
        <v>3394</v>
      </c>
      <c r="G5" s="6"/>
      <c r="H5" s="6"/>
      <c r="I5" s="6"/>
      <c r="J5" s="6"/>
      <c r="K5" s="6"/>
    </row>
    <row r="6" spans="6:30" ht="15.75" customHeight="1" x14ac:dyDescent="0.15">
      <c r="F6" s="6" t="str">
        <f>IF(org=0,"Не определено",org)</f>
        <v>КГУП "Примтеплоэнерго"</v>
      </c>
      <c r="G6" s="6"/>
      <c r="H6" s="6"/>
      <c r="I6" s="6"/>
      <c r="J6" s="6"/>
      <c r="K6" s="6"/>
    </row>
    <row r="8" spans="6:30" ht="10.5" customHeight="1" x14ac:dyDescent="0.15">
      <c r="F8" s="6" t="s">
        <v>593</v>
      </c>
      <c r="G8" s="6"/>
      <c r="H8" s="6"/>
      <c r="I8" s="6"/>
      <c r="J8" s="6"/>
      <c r="K8" s="6"/>
      <c r="L8" s="6"/>
      <c r="M8" s="6"/>
      <c r="N8" s="6"/>
      <c r="O8" s="6"/>
      <c r="P8" s="6"/>
      <c r="Q8" s="6"/>
      <c r="R8" s="6"/>
      <c r="S8" s="6"/>
      <c r="T8" s="6"/>
      <c r="U8" s="6"/>
      <c r="V8" s="6"/>
      <c r="W8" s="6"/>
      <c r="X8" s="6"/>
      <c r="Y8" s="6"/>
      <c r="Z8" s="6"/>
      <c r="AA8" s="6"/>
      <c r="AB8" s="6"/>
    </row>
    <row r="9" spans="6:30" ht="41.25" customHeight="1" x14ac:dyDescent="0.15">
      <c r="F9" s="6" t="s">
        <v>75</v>
      </c>
      <c r="G9" s="6" t="s">
        <v>3395</v>
      </c>
      <c r="H9" s="6" t="s">
        <v>3396</v>
      </c>
      <c r="I9" s="6" t="s">
        <v>3397</v>
      </c>
      <c r="J9" s="6" t="s">
        <v>3398</v>
      </c>
      <c r="K9" s="6" t="s">
        <v>3399</v>
      </c>
      <c r="L9" s="6" t="s">
        <v>3400</v>
      </c>
      <c r="M9" s="6" t="s">
        <v>3401</v>
      </c>
      <c r="N9" s="6" t="s">
        <v>3402</v>
      </c>
      <c r="O9" s="6"/>
      <c r="P9" s="6"/>
      <c r="Q9" s="6" t="s">
        <v>3403</v>
      </c>
      <c r="R9" s="6"/>
      <c r="S9" s="6"/>
      <c r="T9" s="6"/>
      <c r="U9" s="6" t="s">
        <v>3404</v>
      </c>
      <c r="V9" s="6"/>
      <c r="W9" s="6"/>
      <c r="X9" s="6"/>
      <c r="Y9" s="6" t="s">
        <v>3405</v>
      </c>
      <c r="Z9" s="6"/>
      <c r="AA9" s="6"/>
      <c r="AB9" s="6"/>
    </row>
    <row r="10" spans="6:30" ht="41.25" customHeight="1" x14ac:dyDescent="0.15">
      <c r="F10" s="6"/>
      <c r="G10" s="6"/>
      <c r="H10" s="6"/>
      <c r="I10" s="6"/>
      <c r="J10" s="6"/>
      <c r="K10" s="6"/>
      <c r="L10" s="6"/>
      <c r="M10" s="6"/>
      <c r="N10" t="s">
        <v>3406</v>
      </c>
      <c r="O10" t="s">
        <v>3407</v>
      </c>
      <c r="P10" t="s">
        <v>3408</v>
      </c>
      <c r="Q10" t="s">
        <v>76</v>
      </c>
      <c r="R10" t="s">
        <v>3409</v>
      </c>
      <c r="S10" t="s">
        <v>3410</v>
      </c>
      <c r="T10" t="s">
        <v>3411</v>
      </c>
      <c r="U10" t="s">
        <v>76</v>
      </c>
      <c r="V10" t="s">
        <v>3412</v>
      </c>
      <c r="W10" t="s">
        <v>3410</v>
      </c>
      <c r="X10" t="s">
        <v>3411</v>
      </c>
      <c r="Y10" t="s">
        <v>3413</v>
      </c>
      <c r="Z10" s="6" t="s">
        <v>75</v>
      </c>
      <c r="AA10" s="6"/>
      <c r="AB10" t="s">
        <v>3414</v>
      </c>
    </row>
    <row r="11" spans="6:30" ht="5.25" hidden="1" customHeight="1" x14ac:dyDescent="0.15">
      <c r="F11" s="6" t="s">
        <v>671</v>
      </c>
      <c r="G11" s="6"/>
      <c r="H11" s="6"/>
      <c r="I11" s="6"/>
      <c r="J11" s="6"/>
      <c r="K11" s="6"/>
      <c r="L11" s="6"/>
      <c r="M11" s="6"/>
      <c r="N11" s="6"/>
      <c r="O11" s="6"/>
      <c r="P11" s="6"/>
      <c r="Q11" s="6"/>
      <c r="R11" s="6"/>
      <c r="S11" s="6"/>
      <c r="T11" s="6"/>
      <c r="U11" s="6"/>
      <c r="V11" s="6"/>
      <c r="W11" s="6"/>
      <c r="X11" s="6"/>
      <c r="Y11" s="6"/>
      <c r="Z11" s="6"/>
      <c r="AA11" s="6"/>
      <c r="AB11" s="6"/>
      <c r="AD11" t="s">
        <v>3415</v>
      </c>
    </row>
    <row r="12" spans="6:30" ht="5.25" hidden="1" customHeight="1" x14ac:dyDescent="0.15">
      <c r="F12" s="6"/>
      <c r="G12" s="6"/>
      <c r="H12" s="6"/>
      <c r="I12" s="6"/>
      <c r="J12" s="6"/>
      <c r="K12" s="6"/>
      <c r="L12" s="6"/>
      <c r="M12" s="6"/>
      <c r="N12" s="6"/>
      <c r="O12" s="6"/>
      <c r="P12" s="6"/>
      <c r="Q12" s="6"/>
      <c r="R12" s="6"/>
      <c r="S12" s="6"/>
      <c r="T12" s="6"/>
      <c r="U12" s="6"/>
      <c r="V12" s="6"/>
      <c r="W12" s="6"/>
      <c r="X12" s="6"/>
      <c r="Y12" s="6"/>
      <c r="Z12" s="6"/>
      <c r="AA12" s="6"/>
      <c r="AB12" s="6"/>
    </row>
    <row r="13" spans="6:30" ht="10.5" customHeight="1" x14ac:dyDescent="0.15">
      <c r="G13" t="s">
        <v>3416</v>
      </c>
    </row>
    <row r="15" spans="6:30" ht="10.5" customHeight="1" x14ac:dyDescent="0.15">
      <c r="H1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19"/>
  <sheetViews>
    <sheetView showGridLines="0" topLeftCell="E4" zoomScale="90" workbookViewId="0"/>
  </sheetViews>
  <sheetFormatPr defaultColWidth="9.140625" defaultRowHeight="10.5" customHeight="1" x14ac:dyDescent="0.15"/>
  <cols>
    <col min="1" max="4" width="4.140625" hidden="1" customWidth="1"/>
    <col min="5" max="5" width="3.7109375" customWidth="1"/>
    <col min="6" max="6" width="14.42578125" customWidth="1"/>
    <col min="7" max="7" width="3.7109375" customWidth="1"/>
    <col min="8" max="8" width="7.7109375" customWidth="1"/>
    <col min="9" max="10" width="16.7109375" hidden="1" customWidth="1"/>
    <col min="11" max="11" width="25.7109375" customWidth="1"/>
    <col min="12" max="12" width="8" customWidth="1"/>
    <col min="13" max="13" width="15.5703125" customWidth="1"/>
    <col min="14" max="14" width="3.28515625" customWidth="1"/>
    <col min="15" max="15" width="4.7109375" customWidth="1"/>
    <col min="16" max="16" width="9" customWidth="1"/>
    <col min="17" max="17" width="21.7109375" customWidth="1"/>
    <col min="18" max="18" width="14.7109375" customWidth="1"/>
    <col min="19" max="20" width="17.7109375" customWidth="1"/>
    <col min="21" max="21" width="9.7109375" customWidth="1"/>
    <col min="22" max="22" width="12.7109375" customWidth="1"/>
    <col min="23" max="23" width="9.7109375" customWidth="1"/>
    <col min="24" max="24" width="21.7109375" customWidth="1"/>
    <col min="25" max="25" width="12.7109375" customWidth="1"/>
    <col min="26" max="26" width="3.28515625" customWidth="1"/>
    <col min="27" max="27" width="7.140625" customWidth="1"/>
    <col min="28" max="28" width="38.42578125" customWidth="1"/>
    <col min="29" max="29" width="15.7109375" customWidth="1"/>
    <col min="30" max="30" width="37.5703125" customWidth="1"/>
    <col min="31" max="31" width="15.7109375" customWidth="1"/>
    <col min="32" max="37" width="16.7109375" customWidth="1"/>
  </cols>
  <sheetData>
    <row r="1" spans="6:37" ht="10.5" hidden="1" customHeight="1" x14ac:dyDescent="0.15"/>
    <row r="2" spans="6:37" ht="10.5" hidden="1" customHeight="1" x14ac:dyDescent="0.15"/>
    <row r="3" spans="6:37" ht="10.5" hidden="1" customHeight="1" x14ac:dyDescent="0.15"/>
    <row r="4" spans="6:37" ht="3" customHeight="1" x14ac:dyDescent="0.15"/>
    <row r="5" spans="6:37" ht="30" customHeight="1" x14ac:dyDescent="0.15">
      <c r="F5" s="6" t="s">
        <v>3394</v>
      </c>
      <c r="G5" s="6"/>
      <c r="H5" s="6"/>
      <c r="I5" s="6"/>
      <c r="J5" s="6"/>
      <c r="K5" s="6"/>
    </row>
    <row r="6" spans="6:37" ht="10.5" customHeight="1" x14ac:dyDescent="0.15">
      <c r="F6" s="6" t="str">
        <f>IF(org=0,"Не определено",org)</f>
        <v>КГУП "Примтеплоэнерго"</v>
      </c>
      <c r="G6" s="6"/>
      <c r="H6" s="6"/>
      <c r="I6" s="6"/>
      <c r="J6" s="6"/>
      <c r="K6" s="6"/>
    </row>
    <row r="7" spans="6:37" ht="11.25" customHeight="1" x14ac:dyDescent="0.15"/>
    <row r="8" spans="6:37" ht="10.5" customHeight="1" x14ac:dyDescent="0.15">
      <c r="F8" s="6" t="s">
        <v>593</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6:37" ht="23.25" customHeight="1" x14ac:dyDescent="0.15">
      <c r="F9" s="6" t="s">
        <v>3417</v>
      </c>
      <c r="G9" s="6" t="s">
        <v>3418</v>
      </c>
      <c r="H9" s="6"/>
      <c r="I9" s="6" t="s">
        <v>3419</v>
      </c>
      <c r="J9" s="6"/>
      <c r="K9" s="6" t="s">
        <v>3420</v>
      </c>
      <c r="L9" s="6"/>
      <c r="M9" s="6"/>
      <c r="N9" s="6"/>
      <c r="O9" s="6"/>
      <c r="P9" s="6"/>
      <c r="Q9" s="6"/>
      <c r="R9" s="6"/>
      <c r="S9" s="6"/>
      <c r="T9" s="6"/>
      <c r="U9" s="6"/>
      <c r="V9" s="6"/>
      <c r="W9" s="6"/>
      <c r="X9" s="6"/>
      <c r="Y9" s="6"/>
      <c r="Z9" s="6" t="s">
        <v>3421</v>
      </c>
      <c r="AA9" s="6"/>
      <c r="AB9" s="6" t="s">
        <v>3422</v>
      </c>
      <c r="AC9" s="6"/>
      <c r="AD9" s="6"/>
      <c r="AE9" s="6"/>
      <c r="AF9" s="6" t="s">
        <v>3423</v>
      </c>
      <c r="AG9" s="6" t="s">
        <v>3424</v>
      </c>
      <c r="AH9" s="6"/>
      <c r="AI9" s="6" t="s">
        <v>3425</v>
      </c>
      <c r="AJ9" s="6" t="s">
        <v>3426</v>
      </c>
      <c r="AK9" s="6"/>
    </row>
    <row r="10" spans="6:37" ht="23.25" customHeight="1" x14ac:dyDescent="0.15">
      <c r="F10" s="6"/>
      <c r="G10" s="6"/>
      <c r="H10" s="6"/>
      <c r="I10" s="6"/>
      <c r="J10" s="6"/>
      <c r="K10" s="6" t="s">
        <v>3427</v>
      </c>
      <c r="L10" s="6" t="s">
        <v>3428</v>
      </c>
      <c r="M10" s="6"/>
      <c r="N10" s="6" t="s">
        <v>3429</v>
      </c>
      <c r="O10" s="6"/>
      <c r="P10" s="6"/>
      <c r="Q10" s="6"/>
      <c r="R10" s="6"/>
      <c r="S10" s="6"/>
      <c r="T10" s="6"/>
      <c r="U10" s="6"/>
      <c r="V10" s="6"/>
      <c r="W10" s="6"/>
      <c r="X10" s="6"/>
      <c r="Y10" s="6"/>
      <c r="Z10" s="6"/>
      <c r="AA10" s="6"/>
      <c r="AB10" s="6"/>
      <c r="AC10" s="6"/>
      <c r="AD10" s="6"/>
      <c r="AE10" s="6"/>
      <c r="AF10" s="6"/>
      <c r="AG10" s="6"/>
      <c r="AH10" s="6"/>
      <c r="AI10" s="6"/>
      <c r="AJ10" s="6"/>
      <c r="AK10" s="6"/>
    </row>
    <row r="11" spans="6:37" ht="23.25" customHeight="1" x14ac:dyDescent="0.15">
      <c r="F11" s="6"/>
      <c r="G11" s="6"/>
      <c r="H11" s="6"/>
      <c r="I11" s="6"/>
      <c r="J11" s="6"/>
      <c r="K11" s="6"/>
      <c r="L11" s="6" t="s">
        <v>3430</v>
      </c>
      <c r="M11" s="6" t="s">
        <v>3431</v>
      </c>
      <c r="N11" s="6" t="s">
        <v>3432</v>
      </c>
      <c r="O11" s="6"/>
      <c r="P11" s="6" t="s">
        <v>3413</v>
      </c>
      <c r="Q11" s="6" t="s">
        <v>3433</v>
      </c>
      <c r="R11" s="6" t="s">
        <v>3434</v>
      </c>
      <c r="S11" s="6" t="s">
        <v>3435</v>
      </c>
      <c r="T11" s="6"/>
      <c r="U11" s="6"/>
      <c r="V11" s="6"/>
      <c r="W11" s="6"/>
      <c r="X11" s="6"/>
      <c r="Y11" s="6"/>
      <c r="Z11" s="6"/>
      <c r="AA11" s="6"/>
      <c r="AB11" s="6" t="s">
        <v>3436</v>
      </c>
      <c r="AC11" s="6"/>
      <c r="AD11" s="6" t="s">
        <v>3437</v>
      </c>
      <c r="AE11" s="6"/>
      <c r="AF11" s="6"/>
      <c r="AG11" s="6"/>
      <c r="AH11" s="6"/>
      <c r="AI11" s="6"/>
      <c r="AJ11" s="6"/>
      <c r="AK11" s="6"/>
    </row>
    <row r="12" spans="6:37" ht="33.75" customHeight="1" x14ac:dyDescent="0.15">
      <c r="F12" s="6"/>
      <c r="G12" s="6"/>
      <c r="H12" s="6"/>
      <c r="I12" t="s">
        <v>76</v>
      </c>
      <c r="J12" t="s">
        <v>3438</v>
      </c>
      <c r="K12" s="6"/>
      <c r="L12" s="6"/>
      <c r="M12" s="6"/>
      <c r="N12" s="6"/>
      <c r="O12" s="6"/>
      <c r="P12" s="6"/>
      <c r="Q12" s="6"/>
      <c r="R12" s="6"/>
      <c r="S12" t="s">
        <v>73</v>
      </c>
      <c r="T12" t="s">
        <v>74</v>
      </c>
      <c r="U12" t="s">
        <v>72</v>
      </c>
      <c r="V12" t="s">
        <v>3439</v>
      </c>
      <c r="W12" t="s">
        <v>72</v>
      </c>
      <c r="X12" t="s">
        <v>3440</v>
      </c>
      <c r="Y12" t="s">
        <v>3441</v>
      </c>
      <c r="Z12" s="6"/>
      <c r="AA12" s="6"/>
      <c r="AB12" t="s">
        <v>3442</v>
      </c>
      <c r="AC12" t="s">
        <v>3443</v>
      </c>
      <c r="AD12" t="s">
        <v>3442</v>
      </c>
      <c r="AE12" t="s">
        <v>3443</v>
      </c>
      <c r="AF12" s="6"/>
      <c r="AG12" t="s">
        <v>3444</v>
      </c>
      <c r="AH12" t="s">
        <v>3445</v>
      </c>
      <c r="AI12" s="6"/>
      <c r="AJ12" t="s">
        <v>3444</v>
      </c>
      <c r="AK12" t="s">
        <v>3445</v>
      </c>
    </row>
    <row r="13" spans="6:37" ht="0.75" customHeight="1" x14ac:dyDescent="0.15">
      <c r="F13">
        <v>0</v>
      </c>
    </row>
    <row r="15" spans="6:37" ht="12.75" customHeight="1" x14ac:dyDescent="0.15">
      <c r="F15" t="s">
        <v>3446</v>
      </c>
    </row>
    <row r="17" spans="6:10" ht="10.5" customHeight="1" x14ac:dyDescent="0.15">
      <c r="F17" s="6"/>
      <c r="G17" s="6"/>
      <c r="H17" s="6"/>
      <c r="I17" s="6"/>
      <c r="J17" s="6"/>
    </row>
    <row r="18" spans="6:10" ht="10.5" customHeight="1" x14ac:dyDescent="0.15">
      <c r="F18" s="6"/>
      <c r="G18" s="6"/>
      <c r="H18" s="6"/>
      <c r="I18" s="6"/>
      <c r="J18" s="6"/>
    </row>
    <row r="19" spans="6:10" ht="10.5" customHeight="1" x14ac:dyDescent="0.15">
      <c r="F19" s="6"/>
      <c r="G19" s="6"/>
      <c r="H19" s="6"/>
      <c r="I19" s="6"/>
      <c r="J19" s="6"/>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58"/>
  <sheetViews>
    <sheetView showGridLines="0" topLeftCell="E4" zoomScale="85" workbookViewId="0"/>
  </sheetViews>
  <sheetFormatPr defaultColWidth="9.140625" defaultRowHeight="10.5" customHeight="1" x14ac:dyDescent="0.15"/>
  <cols>
    <col min="1" max="4" width="4.140625" hidden="1" customWidth="1"/>
    <col min="5" max="5" width="3.7109375" customWidth="1"/>
    <col min="6" max="6" width="6.28515625" customWidth="1"/>
    <col min="7" max="7" width="60.140625" customWidth="1"/>
    <col min="8" max="9" width="21.7109375" hidden="1" customWidth="1"/>
    <col min="10" max="10" width="0.140625" customWidth="1"/>
    <col min="11" max="11" width="1.7109375" customWidth="1"/>
  </cols>
  <sheetData>
    <row r="1" spans="6:10" ht="10.5" hidden="1" customHeight="1" x14ac:dyDescent="0.15"/>
    <row r="2" spans="6:10" ht="10.5" hidden="1" customHeight="1" x14ac:dyDescent="0.15"/>
    <row r="3" spans="6:10" ht="10.5" hidden="1" customHeight="1" x14ac:dyDescent="0.15"/>
    <row r="4" spans="6:10" ht="3" customHeight="1" x14ac:dyDescent="0.15"/>
    <row r="5" spans="6:10" ht="30" customHeight="1" x14ac:dyDescent="0.15">
      <c r="F5" s="6" t="s">
        <v>3447</v>
      </c>
      <c r="G5" s="6"/>
      <c r="H5" s="6"/>
      <c r="I5" s="6"/>
      <c r="J5" s="6"/>
    </row>
    <row r="6" spans="6:10" ht="10.5" customHeight="1" x14ac:dyDescent="0.15">
      <c r="F6" s="6" t="str">
        <f>IF(org=0,"Не определено",org)</f>
        <v>КГУП "Примтеплоэнерго"</v>
      </c>
      <c r="G6" s="6"/>
      <c r="H6" s="6"/>
      <c r="I6" s="6"/>
      <c r="J6" s="6"/>
    </row>
    <row r="7" spans="6:10" ht="11.25" customHeight="1" x14ac:dyDescent="0.15"/>
    <row r="8" spans="6:10" ht="5.25" customHeight="1" x14ac:dyDescent="0.15"/>
    <row r="9" spans="6:10" ht="10.5" customHeight="1" x14ac:dyDescent="0.15">
      <c r="F9" s="6" t="s">
        <v>593</v>
      </c>
      <c r="G9" s="6"/>
      <c r="H9" s="6"/>
      <c r="I9" s="6"/>
      <c r="J9" s="6"/>
    </row>
    <row r="10" spans="6:10" ht="24" customHeight="1" x14ac:dyDescent="0.15">
      <c r="F10" s="6" t="s">
        <v>75</v>
      </c>
      <c r="G10" s="6" t="s">
        <v>3448</v>
      </c>
      <c r="H10" s="6" t="s">
        <v>3449</v>
      </c>
      <c r="I10" s="6"/>
      <c r="J10" s="6"/>
    </row>
    <row r="11" spans="6:10" ht="24" customHeight="1" x14ac:dyDescent="0.15">
      <c r="F11" s="6"/>
      <c r="G11" s="6"/>
      <c r="H11" s="6" t="e">
        <f>INDEX(IP_MAIN_LIST_NAME_IP,MATCH(H8,IP_MAIN_LIST_IP_ID,0))&amp;" ("&amp;INDEX(IP_MAIN_START_DATE,MATCH(H8,IP_MAIN_LIST_IP_ID,0))&amp;"-"&amp;INDEX(IP_MAIN_END_DATE,MATCH(H8,IP_MAIN_LIST_IP_ID,0))&amp;")"</f>
        <v>#N/A</v>
      </c>
      <c r="I11" s="6"/>
      <c r="J11" s="6"/>
    </row>
    <row r="12" spans="6:10" ht="10.5" customHeight="1" x14ac:dyDescent="0.15">
      <c r="F12" s="6"/>
      <c r="G12" s="6"/>
      <c r="H12" t="s">
        <v>3450</v>
      </c>
    </row>
    <row r="13" spans="6:10" ht="10.5" hidden="1" customHeight="1" x14ac:dyDescent="0.15">
      <c r="F13">
        <v>1</v>
      </c>
      <c r="G13">
        <v>2</v>
      </c>
      <c r="H13">
        <v>3</v>
      </c>
      <c r="I13">
        <v>4</v>
      </c>
      <c r="J13">
        <v>5</v>
      </c>
    </row>
    <row r="14" spans="6:10" ht="11.25" customHeight="1" x14ac:dyDescent="0.15">
      <c r="F14" t="s">
        <v>1486</v>
      </c>
      <c r="G14" s="6" t="s">
        <v>3451</v>
      </c>
      <c r="H14" s="6"/>
      <c r="I14" s="6"/>
      <c r="J14" s="6"/>
    </row>
    <row r="15" spans="6:10" ht="11.25" customHeight="1" x14ac:dyDescent="0.15">
      <c r="F15">
        <v>1</v>
      </c>
      <c r="G15" t="s">
        <v>3452</v>
      </c>
      <c r="H15">
        <f t="shared" ref="H15:H36" si="0">SUM(I15:J15)</f>
        <v>0</v>
      </c>
      <c r="I15">
        <f>SUM(I16:I27)</f>
        <v>0</v>
      </c>
    </row>
    <row r="16" spans="6:10" ht="22.5" customHeight="1" x14ac:dyDescent="0.15">
      <c r="F16" t="s">
        <v>914</v>
      </c>
      <c r="G16" t="s">
        <v>1446</v>
      </c>
      <c r="H16">
        <f t="shared" si="0"/>
        <v>0</v>
      </c>
    </row>
    <row r="17" spans="6:9" ht="22.5" customHeight="1" x14ac:dyDescent="0.15">
      <c r="F17" t="s">
        <v>920</v>
      </c>
      <c r="G17" t="s">
        <v>1450</v>
      </c>
      <c r="H17">
        <f t="shared" si="0"/>
        <v>0</v>
      </c>
    </row>
    <row r="18" spans="6:9" ht="33.75" customHeight="1" x14ac:dyDescent="0.15">
      <c r="F18" t="s">
        <v>1709</v>
      </c>
      <c r="G18" t="s">
        <v>1440</v>
      </c>
      <c r="H18">
        <f t="shared" si="0"/>
        <v>0</v>
      </c>
    </row>
    <row r="19" spans="6:9" ht="33.75" customHeight="1" x14ac:dyDescent="0.15">
      <c r="F19" t="s">
        <v>3453</v>
      </c>
      <c r="G19" t="s">
        <v>1471</v>
      </c>
      <c r="H19">
        <f t="shared" si="0"/>
        <v>0</v>
      </c>
    </row>
    <row r="20" spans="6:9" ht="45" customHeight="1" x14ac:dyDescent="0.15">
      <c r="F20" t="s">
        <v>3454</v>
      </c>
      <c r="G20" t="s">
        <v>1475</v>
      </c>
      <c r="H20">
        <f t="shared" si="0"/>
        <v>0</v>
      </c>
    </row>
    <row r="21" spans="6:9" ht="33.75" customHeight="1" x14ac:dyDescent="0.15">
      <c r="F21" t="s">
        <v>3455</v>
      </c>
      <c r="G21" t="s">
        <v>1479</v>
      </c>
      <c r="H21">
        <f t="shared" si="0"/>
        <v>0</v>
      </c>
    </row>
    <row r="22" spans="6:9" ht="33.75" customHeight="1" x14ac:dyDescent="0.15">
      <c r="F22" t="s">
        <v>3456</v>
      </c>
      <c r="G22" t="s">
        <v>1484</v>
      </c>
      <c r="H22">
        <f t="shared" si="0"/>
        <v>0</v>
      </c>
    </row>
    <row r="23" spans="6:9" ht="22.5" customHeight="1" x14ac:dyDescent="0.15">
      <c r="F23" t="s">
        <v>3457</v>
      </c>
      <c r="G23" t="s">
        <v>1487</v>
      </c>
      <c r="H23">
        <f t="shared" si="0"/>
        <v>0</v>
      </c>
    </row>
    <row r="24" spans="6:9" ht="22.5" customHeight="1" x14ac:dyDescent="0.15">
      <c r="F24" t="s">
        <v>3458</v>
      </c>
      <c r="G24" t="s">
        <v>1468</v>
      </c>
      <c r="H24">
        <f t="shared" si="0"/>
        <v>0</v>
      </c>
    </row>
    <row r="25" spans="6:9" ht="33.75" customHeight="1" x14ac:dyDescent="0.15">
      <c r="F25" t="s">
        <v>3459</v>
      </c>
      <c r="G25" t="s">
        <v>1518</v>
      </c>
      <c r="H25">
        <f t="shared" si="0"/>
        <v>0</v>
      </c>
    </row>
    <row r="26" spans="6:9" ht="33.75" customHeight="1" x14ac:dyDescent="0.15">
      <c r="F26" t="s">
        <v>3460</v>
      </c>
      <c r="G26" t="s">
        <v>1520</v>
      </c>
      <c r="H26">
        <f t="shared" si="0"/>
        <v>0</v>
      </c>
    </row>
    <row r="27" spans="6:9" ht="11.25" customHeight="1" x14ac:dyDescent="0.15">
      <c r="F27" t="s">
        <v>3461</v>
      </c>
      <c r="G27" t="s">
        <v>1449</v>
      </c>
      <c r="H27">
        <f t="shared" si="0"/>
        <v>0</v>
      </c>
    </row>
    <row r="28" spans="6:9" ht="11.25" customHeight="1" x14ac:dyDescent="0.15">
      <c r="F28">
        <v>2</v>
      </c>
      <c r="G28" t="s">
        <v>3462</v>
      </c>
      <c r="H28">
        <f t="shared" si="0"/>
        <v>0</v>
      </c>
      <c r="I28">
        <f>SUM(I29:I31)</f>
        <v>0</v>
      </c>
    </row>
    <row r="29" spans="6:9" ht="11.25" customHeight="1" x14ac:dyDescent="0.15">
      <c r="F29" t="s">
        <v>799</v>
      </c>
      <c r="G29" t="s">
        <v>3463</v>
      </c>
      <c r="H29">
        <f t="shared" si="0"/>
        <v>0</v>
      </c>
    </row>
    <row r="30" spans="6:9" ht="11.25" customHeight="1" x14ac:dyDescent="0.15">
      <c r="F30" t="s">
        <v>600</v>
      </c>
      <c r="G30" t="s">
        <v>1447</v>
      </c>
      <c r="H30">
        <f t="shared" si="0"/>
        <v>0</v>
      </c>
    </row>
    <row r="31" spans="6:9" ht="11.25" customHeight="1" x14ac:dyDescent="0.15">
      <c r="F31" t="s">
        <v>603</v>
      </c>
      <c r="G31" t="s">
        <v>1483</v>
      </c>
      <c r="H31">
        <f t="shared" si="0"/>
        <v>0</v>
      </c>
    </row>
    <row r="32" spans="6:9" ht="11.25" customHeight="1" x14ac:dyDescent="0.15">
      <c r="F32">
        <v>3</v>
      </c>
      <c r="G32" t="s">
        <v>3464</v>
      </c>
      <c r="H32">
        <f t="shared" si="0"/>
        <v>0</v>
      </c>
      <c r="I32">
        <f>SUM(I33:I34)</f>
        <v>0</v>
      </c>
    </row>
    <row r="33" spans="6:10" ht="33.75" customHeight="1" x14ac:dyDescent="0.15">
      <c r="F33" t="s">
        <v>619</v>
      </c>
      <c r="G33" t="s">
        <v>3465</v>
      </c>
      <c r="H33">
        <f t="shared" si="0"/>
        <v>0</v>
      </c>
    </row>
    <row r="34" spans="6:10" ht="11.25" customHeight="1" x14ac:dyDescent="0.15">
      <c r="F34" t="s">
        <v>627</v>
      </c>
      <c r="G34" t="s">
        <v>3466</v>
      </c>
      <c r="H34">
        <f t="shared" si="0"/>
        <v>0</v>
      </c>
    </row>
    <row r="35" spans="6:10" ht="11.25" customHeight="1" x14ac:dyDescent="0.15">
      <c r="F35">
        <v>4</v>
      </c>
      <c r="G35" t="s">
        <v>3467</v>
      </c>
      <c r="H35">
        <f t="shared" si="0"/>
        <v>0</v>
      </c>
    </row>
    <row r="36" spans="6:10" ht="11.25" customHeight="1" x14ac:dyDescent="0.15">
      <c r="G36" t="s">
        <v>3468</v>
      </c>
      <c r="H36">
        <f t="shared" si="0"/>
        <v>0</v>
      </c>
      <c r="I36">
        <f>SUM(I15,I28,I32,I35)</f>
        <v>0</v>
      </c>
    </row>
    <row r="37" spans="6:10" ht="27.75" customHeight="1" x14ac:dyDescent="0.15">
      <c r="F37" t="s">
        <v>1609</v>
      </c>
      <c r="G37" s="6" t="s">
        <v>3469</v>
      </c>
      <c r="H37" s="6"/>
      <c r="I37" s="6"/>
      <c r="J37" s="6"/>
    </row>
    <row r="38" spans="6:10" ht="22.5" customHeight="1" x14ac:dyDescent="0.15">
      <c r="F38" t="s">
        <v>165</v>
      </c>
      <c r="G38" t="s">
        <v>3470</v>
      </c>
      <c r="H38">
        <f t="shared" ref="H38:H58" si="1">SUM(I38:J38)</f>
        <v>0</v>
      </c>
      <c r="I38">
        <f>SUM(I39,I44,I47)</f>
        <v>0</v>
      </c>
    </row>
    <row r="39" spans="6:10" ht="11.25" customHeight="1" x14ac:dyDescent="0.15">
      <c r="F39" t="s">
        <v>914</v>
      </c>
      <c r="G39" t="s">
        <v>3452</v>
      </c>
      <c r="H39">
        <f t="shared" si="1"/>
        <v>0</v>
      </c>
      <c r="I39">
        <f>SUM(I40:I43)</f>
        <v>0</v>
      </c>
    </row>
    <row r="40" spans="6:10" ht="22.5" customHeight="1" x14ac:dyDescent="0.15">
      <c r="F40" t="s">
        <v>1705</v>
      </c>
      <c r="G40" t="s">
        <v>3471</v>
      </c>
      <c r="H40">
        <f t="shared" si="1"/>
        <v>0</v>
      </c>
    </row>
    <row r="41" spans="6:10" ht="11.25" customHeight="1" x14ac:dyDescent="0.15">
      <c r="F41" t="s">
        <v>3472</v>
      </c>
      <c r="G41" t="s">
        <v>1441</v>
      </c>
      <c r="H41">
        <f t="shared" si="1"/>
        <v>0</v>
      </c>
    </row>
    <row r="42" spans="6:10" ht="11.25" customHeight="1" x14ac:dyDescent="0.15">
      <c r="F42" t="s">
        <v>3473</v>
      </c>
      <c r="G42" t="s">
        <v>3474</v>
      </c>
      <c r="H42">
        <f t="shared" si="1"/>
        <v>0</v>
      </c>
    </row>
    <row r="43" spans="6:10" ht="33.75" customHeight="1" x14ac:dyDescent="0.15">
      <c r="F43" t="s">
        <v>3475</v>
      </c>
      <c r="G43" t="s">
        <v>3476</v>
      </c>
      <c r="H43">
        <f t="shared" si="1"/>
        <v>0</v>
      </c>
    </row>
    <row r="44" spans="6:10" ht="11.25" customHeight="1" x14ac:dyDescent="0.15">
      <c r="F44" t="s">
        <v>920</v>
      </c>
      <c r="G44" t="s">
        <v>3464</v>
      </c>
      <c r="H44">
        <f t="shared" si="1"/>
        <v>0</v>
      </c>
      <c r="I44">
        <f>SUM(I45:I46)</f>
        <v>0</v>
      </c>
    </row>
    <row r="45" spans="6:10" ht="45" customHeight="1" x14ac:dyDescent="0.15">
      <c r="F45" t="s">
        <v>1707</v>
      </c>
      <c r="G45" t="s">
        <v>3465</v>
      </c>
      <c r="H45">
        <f t="shared" si="1"/>
        <v>0</v>
      </c>
    </row>
    <row r="46" spans="6:10" ht="11.25" customHeight="1" x14ac:dyDescent="0.15">
      <c r="F46" t="s">
        <v>3477</v>
      </c>
      <c r="G46" t="s">
        <v>3466</v>
      </c>
      <c r="H46">
        <f t="shared" si="1"/>
        <v>0</v>
      </c>
    </row>
    <row r="47" spans="6:10" ht="11.25" customHeight="1" x14ac:dyDescent="0.15">
      <c r="F47" t="s">
        <v>1709</v>
      </c>
      <c r="G47" t="s">
        <v>3478</v>
      </c>
      <c r="H47">
        <f t="shared" si="1"/>
        <v>0</v>
      </c>
    </row>
    <row r="48" spans="6:10" ht="22.5" customHeight="1" x14ac:dyDescent="0.15">
      <c r="F48" t="s">
        <v>89</v>
      </c>
      <c r="G48" t="s">
        <v>3479</v>
      </c>
      <c r="H48">
        <f t="shared" si="1"/>
        <v>0</v>
      </c>
      <c r="I48">
        <f>SUM(I49,I54,I57)</f>
        <v>0</v>
      </c>
    </row>
    <row r="49" spans="6:9" ht="11.25" customHeight="1" x14ac:dyDescent="0.15">
      <c r="F49" t="s">
        <v>799</v>
      </c>
      <c r="G49" t="s">
        <v>3452</v>
      </c>
      <c r="H49">
        <f t="shared" si="1"/>
        <v>0</v>
      </c>
      <c r="I49">
        <f>SUM(I50:I53)</f>
        <v>0</v>
      </c>
    </row>
    <row r="50" spans="6:9" ht="22.5" customHeight="1" x14ac:dyDescent="0.15">
      <c r="F50" t="s">
        <v>1717</v>
      </c>
      <c r="G50" t="s">
        <v>3471</v>
      </c>
      <c r="H50">
        <f t="shared" si="1"/>
        <v>0</v>
      </c>
    </row>
    <row r="51" spans="6:9" ht="11.25" customHeight="1" x14ac:dyDescent="0.15">
      <c r="F51" t="s">
        <v>3235</v>
      </c>
      <c r="G51" t="s">
        <v>1441</v>
      </c>
      <c r="H51">
        <f t="shared" si="1"/>
        <v>0</v>
      </c>
    </row>
    <row r="52" spans="6:9" ht="11.25" customHeight="1" x14ac:dyDescent="0.15">
      <c r="F52" t="s">
        <v>3480</v>
      </c>
      <c r="G52" t="s">
        <v>3474</v>
      </c>
      <c r="H52">
        <f t="shared" si="1"/>
        <v>0</v>
      </c>
    </row>
    <row r="53" spans="6:9" ht="33.75" customHeight="1" x14ac:dyDescent="0.15">
      <c r="F53" t="s">
        <v>3481</v>
      </c>
      <c r="G53" t="s">
        <v>3476</v>
      </c>
      <c r="H53">
        <f t="shared" si="1"/>
        <v>0</v>
      </c>
    </row>
    <row r="54" spans="6:9" ht="11.25" customHeight="1" x14ac:dyDescent="0.15">
      <c r="F54" t="s">
        <v>600</v>
      </c>
      <c r="G54" t="s">
        <v>3464</v>
      </c>
      <c r="H54">
        <f t="shared" si="1"/>
        <v>0</v>
      </c>
      <c r="I54">
        <f>SUM(I55:I56)</f>
        <v>0</v>
      </c>
    </row>
    <row r="55" spans="6:9" ht="45" customHeight="1" x14ac:dyDescent="0.15">
      <c r="F55" t="s">
        <v>814</v>
      </c>
      <c r="G55" t="s">
        <v>3465</v>
      </c>
      <c r="H55">
        <f t="shared" si="1"/>
        <v>0</v>
      </c>
    </row>
    <row r="56" spans="6:9" ht="11.25" customHeight="1" x14ac:dyDescent="0.15">
      <c r="F56" t="s">
        <v>819</v>
      </c>
      <c r="G56" t="s">
        <v>3466</v>
      </c>
      <c r="H56">
        <f t="shared" si="1"/>
        <v>0</v>
      </c>
    </row>
    <row r="57" spans="6:9" ht="11.25" customHeight="1" x14ac:dyDescent="0.15">
      <c r="F57" t="s">
        <v>603</v>
      </c>
      <c r="G57" t="s">
        <v>3478</v>
      </c>
      <c r="H57">
        <f t="shared" si="1"/>
        <v>0</v>
      </c>
    </row>
    <row r="58" spans="6:9" ht="11.25" customHeight="1" x14ac:dyDescent="0.15">
      <c r="G58" t="s">
        <v>3468</v>
      </c>
      <c r="H58">
        <f t="shared" si="1"/>
        <v>0</v>
      </c>
      <c r="I58">
        <f>SUM(I38,I48)</f>
        <v>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W20"/>
  <sheetViews>
    <sheetView showGridLines="0" topLeftCell="E4" zoomScale="90" workbookViewId="0"/>
  </sheetViews>
  <sheetFormatPr defaultColWidth="9.140625" defaultRowHeight="12" customHeight="1" x14ac:dyDescent="0.15"/>
  <cols>
    <col min="1" max="4" width="4.7109375" hidden="1" customWidth="1"/>
    <col min="5" max="5" width="3.5703125" customWidth="1"/>
    <col min="6" max="6" width="6.7109375" customWidth="1"/>
    <col min="7" max="7" width="18.7109375" customWidth="1"/>
    <col min="8" max="8" width="27.28515625" customWidth="1"/>
    <col min="9" max="9" width="18.7109375" customWidth="1"/>
    <col min="10" max="14" width="0.85546875" hidden="1" customWidth="1"/>
    <col min="15" max="28" width="21.7109375" customWidth="1"/>
    <col min="29" max="71" width="0.85546875" customWidth="1"/>
    <col min="72" max="79" width="21.7109375" hidden="1" customWidth="1"/>
    <col min="80" max="81" width="29.140625" hidden="1" customWidth="1"/>
    <col min="82" max="89" width="21.7109375" hidden="1" customWidth="1"/>
    <col min="90" max="102" width="0.7109375" hidden="1" customWidth="1"/>
    <col min="103" max="114" width="21.7109375" hidden="1" customWidth="1"/>
    <col min="115" max="178" width="0.7109375" hidden="1" customWidth="1"/>
    <col min="179" max="179" width="0.140625" customWidth="1"/>
  </cols>
  <sheetData>
    <row r="1" spans="6:179" ht="12" hidden="1" customHeight="1" x14ac:dyDescent="0.15"/>
    <row r="2" spans="6:179" ht="12" hidden="1" customHeight="1" x14ac:dyDescent="0.15"/>
    <row r="3" spans="6:179" ht="12" hidden="1" customHeight="1" x14ac:dyDescent="0.15"/>
    <row r="4" spans="6:179" ht="10.5" customHeight="1" x14ac:dyDescent="0.15"/>
    <row r="5" spans="6:179" ht="24" customHeight="1" x14ac:dyDescent="0.15">
      <c r="F5" s="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6:179" ht="18" customHeight="1" x14ac:dyDescent="0.15">
      <c r="F6" s="6" t="str">
        <f>IF(org=0,"Не определено",org)</f>
        <v>КГУП "Примтеплоэнерго"</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row>
    <row r="7" spans="6:179" ht="10.5" customHeight="1" x14ac:dyDescent="0.15"/>
    <row r="8" spans="6:179" ht="11.25" hidden="1" customHeight="1" x14ac:dyDescent="0.15">
      <c r="O8" s="6" t="s">
        <v>3482</v>
      </c>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t="s">
        <v>3483</v>
      </c>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row>
    <row r="9" spans="6:179" ht="11.25" hidden="1" customHeight="1" x14ac:dyDescent="0.15">
      <c r="FW9" s="6"/>
    </row>
    <row r="10" spans="6:179" ht="11.25" customHeight="1" x14ac:dyDescent="0.15">
      <c r="F10" s="6" t="s">
        <v>593</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row>
    <row r="11" spans="6:179" ht="12" customHeight="1" x14ac:dyDescent="0.15">
      <c r="F11" s="6" t="s">
        <v>75</v>
      </c>
      <c r="G11" s="6" t="s">
        <v>3484</v>
      </c>
      <c r="H11" s="6" t="s">
        <v>3485</v>
      </c>
      <c r="I11" s="6" t="s">
        <v>3486</v>
      </c>
      <c r="J11" s="6"/>
      <c r="K11" s="6"/>
      <c r="L11" s="6"/>
      <c r="M11" s="6"/>
      <c r="N11" s="6"/>
      <c r="O11" s="6" t="s">
        <v>3487</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t="s">
        <v>3487</v>
      </c>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t="s">
        <v>3487</v>
      </c>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row>
    <row r="12" spans="6:179" ht="12" customHeight="1" x14ac:dyDescent="0.15">
      <c r="F12" s="6"/>
      <c r="G12" s="6"/>
      <c r="H12" s="6"/>
      <c r="I12" s="6"/>
      <c r="J12" s="6"/>
      <c r="K12" s="6"/>
      <c r="L12" s="6"/>
      <c r="M12" s="6"/>
      <c r="N12" s="6"/>
      <c r="O12" s="6" t="s">
        <v>3488</v>
      </c>
      <c r="P12" s="6"/>
      <c r="Q12" s="6"/>
      <c r="R12" s="6"/>
      <c r="S12" s="6" t="s">
        <v>3489</v>
      </c>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t="s">
        <v>3490</v>
      </c>
      <c r="BU12" s="6"/>
      <c r="BV12" s="6"/>
      <c r="BW12" s="6"/>
      <c r="BX12" s="6" t="s">
        <v>3491</v>
      </c>
      <c r="BY12" s="6"/>
      <c r="BZ12" s="6"/>
      <c r="CA12" s="6"/>
      <c r="CB12" s="6" t="s">
        <v>3492</v>
      </c>
      <c r="CC12" s="6"/>
      <c r="CD12" s="6" t="s">
        <v>3493</v>
      </c>
      <c r="CE12" s="6"/>
      <c r="CF12" s="6"/>
      <c r="CG12" s="6"/>
      <c r="CH12" s="6"/>
      <c r="CI12" s="6"/>
      <c r="CJ12" s="6"/>
      <c r="CK12" s="6"/>
      <c r="CL12" s="6"/>
      <c r="CM12" s="6"/>
      <c r="CN12" s="6"/>
      <c r="CO12" s="6"/>
      <c r="CP12" s="6"/>
      <c r="CQ12" s="6"/>
      <c r="CR12" s="6"/>
      <c r="CS12" s="6"/>
      <c r="CT12" s="6"/>
      <c r="CU12" s="6"/>
      <c r="CV12" s="6"/>
      <c r="CW12" s="6"/>
      <c r="CX12" s="6"/>
      <c r="CY12" s="6" t="s">
        <v>3494</v>
      </c>
      <c r="CZ12" s="6"/>
      <c r="DA12" s="6"/>
      <c r="DB12" s="6"/>
      <c r="DC12" s="6"/>
      <c r="DD12" s="6"/>
      <c r="DE12" s="6" t="s">
        <v>3495</v>
      </c>
      <c r="DF12" s="6"/>
      <c r="DG12" s="6" t="s">
        <v>3493</v>
      </c>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row>
    <row r="13" spans="6:179" ht="36" customHeight="1" x14ac:dyDescent="0.15">
      <c r="F13" s="6"/>
      <c r="G13" s="6"/>
      <c r="H13" s="6"/>
      <c r="I13" s="6"/>
      <c r="J13" s="6"/>
      <c r="K13" s="6"/>
      <c r="L13" s="6"/>
      <c r="M13" s="6"/>
      <c r="N13" s="6"/>
      <c r="O13" s="6" t="s">
        <v>3496</v>
      </c>
      <c r="P13" s="6"/>
      <c r="Q13" s="6"/>
      <c r="R13" s="6"/>
      <c r="S13" s="6" t="s">
        <v>3497</v>
      </c>
      <c r="T13" s="6"/>
      <c r="U13" s="6" t="s">
        <v>3498</v>
      </c>
      <c r="V13" s="6"/>
      <c r="W13" s="6"/>
      <c r="X13" s="6"/>
      <c r="Y13" s="6" t="s">
        <v>3499</v>
      </c>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t="s">
        <v>3500</v>
      </c>
      <c r="BU13" s="6"/>
      <c r="BV13" s="6" t="s">
        <v>3501</v>
      </c>
      <c r="BW13" s="6"/>
      <c r="BX13" s="6" t="s">
        <v>3502</v>
      </c>
      <c r="BY13" s="6"/>
      <c r="BZ13" s="6" t="s">
        <v>3503</v>
      </c>
      <c r="CA13" s="6"/>
      <c r="CB13" s="6" t="s">
        <v>3504</v>
      </c>
      <c r="CC13" s="6"/>
      <c r="CD13" s="6" t="s">
        <v>3505</v>
      </c>
      <c r="CE13" s="6"/>
      <c r="CF13" s="6" t="s">
        <v>3506</v>
      </c>
      <c r="CG13" s="6"/>
      <c r="CH13" s="6" t="s">
        <v>3507</v>
      </c>
      <c r="CI13" s="6"/>
      <c r="CJ13" s="6"/>
      <c r="CK13" s="6"/>
      <c r="CL13" s="6"/>
      <c r="CM13" s="6"/>
      <c r="CN13" s="6"/>
      <c r="CO13" s="6"/>
      <c r="CP13" s="6"/>
      <c r="CQ13" s="6"/>
      <c r="CR13" s="6"/>
      <c r="CS13" s="6"/>
      <c r="CT13" s="6"/>
      <c r="CU13" s="6"/>
      <c r="CV13" s="6"/>
      <c r="CW13" s="6"/>
      <c r="CX13" s="6"/>
      <c r="CY13" s="6" t="s">
        <v>3508</v>
      </c>
      <c r="CZ13" s="6"/>
      <c r="DA13" s="6" t="s">
        <v>3509</v>
      </c>
      <c r="DB13" s="6"/>
      <c r="DC13" s="6" t="s">
        <v>3510</v>
      </c>
      <c r="DD13" s="6"/>
      <c r="DE13" s="6" t="s">
        <v>3511</v>
      </c>
      <c r="DF13" s="6"/>
      <c r="DG13" s="6" t="s">
        <v>3512</v>
      </c>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row>
    <row r="14" spans="6:179" ht="36" customHeight="1" x14ac:dyDescent="0.15">
      <c r="F14" s="6"/>
      <c r="G14" s="6"/>
      <c r="H14" s="6"/>
      <c r="I14" s="6"/>
      <c r="J14" s="6"/>
      <c r="K14" s="6"/>
      <c r="L14" s="6"/>
      <c r="M14" s="6"/>
      <c r="N14" s="6"/>
      <c r="O14" s="6" t="s">
        <v>3513</v>
      </c>
      <c r="P14" s="6"/>
      <c r="Q14" s="6" t="s">
        <v>3514</v>
      </c>
      <c r="R14" s="6"/>
      <c r="S14" s="6"/>
      <c r="T14" s="6"/>
      <c r="U14" s="6" t="s">
        <v>3302</v>
      </c>
      <c r="V14" s="6"/>
      <c r="W14" s="6" t="s">
        <v>3305</v>
      </c>
      <c r="X14" s="6"/>
      <c r="Y14" s="6" t="s">
        <v>3302</v>
      </c>
      <c r="Z14" s="6"/>
      <c r="AA14" s="6" t="s">
        <v>3312</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t="s">
        <v>3515</v>
      </c>
      <c r="CI14" s="6"/>
      <c r="CJ14" s="6" t="s">
        <v>3516</v>
      </c>
      <c r="CK14" s="6"/>
      <c r="CL14" s="6"/>
      <c r="CM14" s="6"/>
      <c r="CN14" s="6"/>
      <c r="CO14" s="6"/>
      <c r="CP14" s="6"/>
      <c r="CQ14" s="6"/>
      <c r="CR14" s="6"/>
      <c r="CS14" s="6"/>
      <c r="CT14" s="6"/>
      <c r="CU14" s="6"/>
      <c r="CV14" s="6"/>
      <c r="CW14" s="6"/>
      <c r="CX14" s="6"/>
      <c r="CY14" s="6"/>
      <c r="CZ14" s="6"/>
      <c r="DA14" s="6"/>
      <c r="DB14" s="6"/>
      <c r="DC14" s="6"/>
      <c r="DD14" s="6"/>
      <c r="DE14" s="6"/>
      <c r="DF14" s="6"/>
      <c r="DG14" s="6" t="s">
        <v>3517</v>
      </c>
      <c r="DH14" s="6"/>
      <c r="DI14" s="6" t="s">
        <v>3518</v>
      </c>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row>
    <row r="15" spans="6:179" ht="36" customHeight="1" x14ac:dyDescent="0.15">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row>
    <row r="16" spans="6:179" ht="12" customHeight="1" x14ac:dyDescent="0.15">
      <c r="F16" s="6"/>
      <c r="G16" s="6"/>
      <c r="H16" s="6"/>
      <c r="I16" s="6"/>
      <c r="J16" s="6"/>
      <c r="K16" s="6"/>
      <c r="L16" s="6"/>
      <c r="M16" s="6"/>
      <c r="N16" s="6"/>
      <c r="O16" s="6" t="s">
        <v>3292</v>
      </c>
      <c r="P16" s="6"/>
      <c r="Q16" s="6" t="s">
        <v>3294</v>
      </c>
      <c r="R16" s="6"/>
      <c r="S16" s="6" t="s">
        <v>3298</v>
      </c>
      <c r="T16" s="6"/>
      <c r="U16" s="6" t="s">
        <v>3303</v>
      </c>
      <c r="V16" s="6"/>
      <c r="W16" s="6" t="s">
        <v>3306</v>
      </c>
      <c r="X16" s="6"/>
      <c r="Y16" s="6" t="s">
        <v>3310</v>
      </c>
      <c r="Z16" s="6"/>
      <c r="AA16" s="6" t="s">
        <v>3313</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t="s">
        <v>1878</v>
      </c>
      <c r="BU16" s="6"/>
      <c r="BV16" s="6" t="s">
        <v>1878</v>
      </c>
      <c r="BW16" s="6"/>
      <c r="BX16" s="6" t="s">
        <v>1878</v>
      </c>
      <c r="BY16" s="6"/>
      <c r="BZ16" s="6" t="s">
        <v>1878</v>
      </c>
      <c r="CA16" s="6"/>
      <c r="CB16" s="6" t="s">
        <v>3519</v>
      </c>
      <c r="CC16" s="6"/>
      <c r="CD16" s="6" t="s">
        <v>1878</v>
      </c>
      <c r="CE16" s="6"/>
      <c r="CF16" s="6" t="s">
        <v>3520</v>
      </c>
      <c r="CG16" s="6"/>
      <c r="CH16" s="6" t="s">
        <v>3521</v>
      </c>
      <c r="CI16" s="6"/>
      <c r="CJ16" s="6" t="s">
        <v>3521</v>
      </c>
      <c r="CK16" s="6"/>
      <c r="CL16" s="6"/>
      <c r="CM16" s="6"/>
      <c r="CN16" s="6"/>
      <c r="CO16" s="6"/>
      <c r="CP16" s="6"/>
      <c r="CQ16" s="6"/>
      <c r="CR16" s="6"/>
      <c r="CS16" s="6"/>
      <c r="CT16" s="6"/>
      <c r="CU16" s="6"/>
      <c r="CV16" s="6"/>
      <c r="CW16" s="6"/>
      <c r="CX16" s="6"/>
      <c r="CY16" s="6" t="s">
        <v>1878</v>
      </c>
      <c r="CZ16" s="6"/>
      <c r="DA16" s="6" t="s">
        <v>1878</v>
      </c>
      <c r="DB16" s="6"/>
      <c r="DC16" s="6" t="s">
        <v>1878</v>
      </c>
      <c r="DD16" s="6"/>
      <c r="DE16" s="6" t="s">
        <v>3519</v>
      </c>
      <c r="DF16" s="6"/>
      <c r="DG16" s="6" t="s">
        <v>3522</v>
      </c>
      <c r="DH16" s="6"/>
      <c r="DI16" s="6" t="s">
        <v>3522</v>
      </c>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row>
    <row r="17" spans="6:179" ht="15" customHeight="1" x14ac:dyDescent="0.15">
      <c r="F17" s="6"/>
      <c r="G17" s="6"/>
      <c r="H17" s="6"/>
      <c r="I17" s="6"/>
      <c r="J17" s="6"/>
      <c r="K17" s="6"/>
      <c r="L17" s="6"/>
      <c r="M17" s="6"/>
      <c r="N17" s="6"/>
      <c r="O17" t="s">
        <v>3523</v>
      </c>
      <c r="P17" t="s">
        <v>3524</v>
      </c>
      <c r="Q17" t="s">
        <v>3523</v>
      </c>
      <c r="R17" t="s">
        <v>3524</v>
      </c>
      <c r="S17" t="s">
        <v>3523</v>
      </c>
      <c r="T17" t="s">
        <v>3524</v>
      </c>
      <c r="U17" t="s">
        <v>3523</v>
      </c>
      <c r="V17" t="s">
        <v>3524</v>
      </c>
      <c r="W17" t="s">
        <v>3523</v>
      </c>
      <c r="X17" t="s">
        <v>3524</v>
      </c>
      <c r="Y17" t="s">
        <v>3523</v>
      </c>
      <c r="Z17" t="s">
        <v>3524</v>
      </c>
      <c r="AA17" t="s">
        <v>3523</v>
      </c>
      <c r="AB17" t="s">
        <v>3524</v>
      </c>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t="s">
        <v>3523</v>
      </c>
      <c r="BU17" t="s">
        <v>3524</v>
      </c>
      <c r="BV17" t="s">
        <v>3523</v>
      </c>
      <c r="BW17" t="s">
        <v>3524</v>
      </c>
      <c r="BX17" t="s">
        <v>3523</v>
      </c>
      <c r="BY17" t="s">
        <v>3524</v>
      </c>
      <c r="BZ17" t="s">
        <v>3523</v>
      </c>
      <c r="CA17" t="s">
        <v>3524</v>
      </c>
      <c r="CB17" t="s">
        <v>3523</v>
      </c>
      <c r="CC17" t="s">
        <v>3524</v>
      </c>
      <c r="CD17" t="s">
        <v>3523</v>
      </c>
      <c r="CE17" t="s">
        <v>3524</v>
      </c>
      <c r="CF17" t="s">
        <v>3523</v>
      </c>
      <c r="CG17" t="s">
        <v>3524</v>
      </c>
      <c r="CH17" t="s">
        <v>3523</v>
      </c>
      <c r="CI17" t="s">
        <v>3524</v>
      </c>
      <c r="CJ17" t="s">
        <v>3523</v>
      </c>
      <c r="CK17" t="s">
        <v>3524</v>
      </c>
      <c r="CL17" s="6"/>
      <c r="CM17" s="6"/>
      <c r="CN17" s="6"/>
      <c r="CO17" s="6"/>
      <c r="CP17" s="6"/>
      <c r="CQ17" s="6"/>
      <c r="CR17" s="6"/>
      <c r="CS17" s="6"/>
      <c r="CT17" s="6"/>
      <c r="CU17" s="6"/>
      <c r="CV17" s="6"/>
      <c r="CW17" s="6"/>
      <c r="CX17" s="6"/>
      <c r="CY17" t="s">
        <v>3523</v>
      </c>
      <c r="CZ17" t="s">
        <v>3524</v>
      </c>
      <c r="DA17" t="s">
        <v>3523</v>
      </c>
      <c r="DB17" t="s">
        <v>3524</v>
      </c>
      <c r="DC17" t="s">
        <v>3523</v>
      </c>
      <c r="DD17" t="s">
        <v>3524</v>
      </c>
      <c r="DE17" t="s">
        <v>3523</v>
      </c>
      <c r="DF17" t="s">
        <v>3524</v>
      </c>
      <c r="DG17" t="s">
        <v>3523</v>
      </c>
      <c r="DH17" t="s">
        <v>3524</v>
      </c>
      <c r="DI17" t="s">
        <v>3523</v>
      </c>
      <c r="DJ17" t="s">
        <v>3524</v>
      </c>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row>
    <row r="18" spans="6:179" ht="12" hidden="1" customHeight="1" x14ac:dyDescent="0.15"/>
    <row r="19" spans="6:179" ht="11.25" hidden="1" customHeight="1" x14ac:dyDescent="0.15"/>
    <row r="20" spans="6:179" ht="11.25" hidden="1" customHeight="1" x14ac:dyDescent="0.15">
      <c r="F20" t="s">
        <v>671</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3525</v>
      </c>
      <c r="V4" s="6"/>
      <c r="W4" s="6"/>
      <c r="X4" s="6"/>
      <c r="Y4" s="6"/>
      <c r="Z4" s="6"/>
      <c r="AA4" s="6"/>
      <c r="AB4" s="6"/>
      <c r="AC4" s="6" t="e">
        <f>INDEX(PT_DIFFERENTIATION_CS,MATCH(C4,PT_DIFFERENTIATION_CS_ID,0))</f>
        <v>#N/A</v>
      </c>
      <c r="AD4" s="6"/>
      <c r="AE4" s="6"/>
      <c r="AF4" s="6"/>
      <c r="AG4" s="6"/>
      <c r="AH4" s="6"/>
      <c r="AI4" s="6"/>
      <c r="AJ4" s="6"/>
      <c r="AK4" t="s">
        <v>3526</v>
      </c>
      <c r="AN4" t="str">
        <f t="shared" si="0"/>
        <v>Наименование централизованной системы горячего водоснабжения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14.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3527</v>
      </c>
      <c r="W38" s="6" t="s">
        <v>3528</v>
      </c>
      <c r="X38" s="6"/>
      <c r="Y38" s="6" t="s">
        <v>1757</v>
      </c>
      <c r="Z38" s="6"/>
      <c r="AA38" s="6"/>
      <c r="AB38" s="6"/>
      <c r="AC38" t="s">
        <v>3527</v>
      </c>
      <c r="AD38" s="6" t="s">
        <v>3528</v>
      </c>
      <c r="AE38" s="6"/>
      <c r="AF38" s="6" t="s">
        <v>1757</v>
      </c>
      <c r="AG38" s="6"/>
      <c r="AH38" s="6"/>
      <c r="AI38" s="6"/>
      <c r="AJ38" s="6"/>
      <c r="AK38" s="6"/>
    </row>
    <row r="39" spans="1:40" ht="86.25" customHeight="1" x14ac:dyDescent="0.15">
      <c r="B39" t="s">
        <v>443</v>
      </c>
      <c r="C39" t="s">
        <v>444</v>
      </c>
      <c r="D39" t="s">
        <v>445</v>
      </c>
      <c r="E39" t="s">
        <v>1758</v>
      </c>
      <c r="F39" t="s">
        <v>1759</v>
      </c>
      <c r="G39" t="s">
        <v>1760</v>
      </c>
      <c r="I39" t="s">
        <v>1945</v>
      </c>
      <c r="J39" t="s">
        <v>1763</v>
      </c>
      <c r="K39" t="s">
        <v>1946</v>
      </c>
      <c r="L39" t="s">
        <v>1739</v>
      </c>
      <c r="S39" s="6"/>
      <c r="T39" s="6"/>
      <c r="V39" t="s">
        <v>3529</v>
      </c>
      <c r="W39" t="s">
        <v>3530</v>
      </c>
      <c r="X39" t="s">
        <v>3531</v>
      </c>
      <c r="Y39" t="s">
        <v>1767</v>
      </c>
      <c r="Z39" s="6" t="s">
        <v>1768</v>
      </c>
      <c r="AA39" s="6"/>
      <c r="AB39" s="6"/>
      <c r="AC39" t="s">
        <v>3529</v>
      </c>
      <c r="AD39" t="s">
        <v>3530</v>
      </c>
      <c r="AE39" t="s">
        <v>3531</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544</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544</v>
      </c>
      <c r="B42" t="s">
        <v>545</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544</v>
      </c>
      <c r="B43" t="s">
        <v>545</v>
      </c>
      <c r="C43" t="s">
        <v>546</v>
      </c>
      <c r="E43" s="6"/>
      <c r="F43" s="6"/>
      <c r="G43" s="6">
        <v>1</v>
      </c>
      <c r="S43" t="str">
        <f>INDEX(PT_DIFFERENTIATION_NUM_CS,MATCH(C43,PT_DIFFERENTIATION_CS_ID,0))</f>
        <v>..</v>
      </c>
      <c r="T43" t="s">
        <v>3525</v>
      </c>
      <c r="V43" s="6"/>
      <c r="W43" s="6"/>
      <c r="X43" s="6"/>
      <c r="Y43" s="6"/>
      <c r="Z43" s="6"/>
      <c r="AA43" s="6"/>
      <c r="AB43" s="6"/>
      <c r="AC43" s="6" t="str">
        <f>INDEX(PT_DIFFERENTIATION_CS,MATCH(C43,PT_DIFFERENTIATION_CS_ID,0))</f>
        <v/>
      </c>
      <c r="AD43" s="6"/>
      <c r="AE43" s="6"/>
      <c r="AF43" s="6"/>
      <c r="AG43" s="6"/>
      <c r="AH43" s="6"/>
      <c r="AI43" s="6"/>
      <c r="AJ43" s="6"/>
      <c r="AK43" t="s">
        <v>3526</v>
      </c>
      <c r="AN43" t="str">
        <f t="shared" si="1"/>
        <v>Наименование централизованной системы горячего водоснабжения</v>
      </c>
    </row>
    <row r="44" spans="1:40" ht="23.25" customHeight="1" x14ac:dyDescent="0.15">
      <c r="A44" t="s">
        <v>544</v>
      </c>
      <c r="B44" t="s">
        <v>545</v>
      </c>
      <c r="C44" t="s">
        <v>546</v>
      </c>
      <c r="D44" t="s">
        <v>3532</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544</v>
      </c>
      <c r="B45" t="s">
        <v>545</v>
      </c>
      <c r="C45" t="s">
        <v>546</v>
      </c>
      <c r="D45" t="s">
        <v>3532</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544</v>
      </c>
      <c r="B46" t="s">
        <v>545</v>
      </c>
      <c r="C46" t="s">
        <v>546</v>
      </c>
      <c r="D46" t="s">
        <v>3532</v>
      </c>
      <c r="E46" s="6"/>
      <c r="F46" s="6"/>
      <c r="G46" s="6"/>
      <c r="H46" s="6"/>
      <c r="I46" s="6"/>
      <c r="J46" s="6"/>
      <c r="K46" s="6" t="str">
        <f>J45&amp;".1"</f>
        <v>...1.1.1</v>
      </c>
      <c r="P46" s="6"/>
      <c r="Q46" s="6"/>
      <c r="R46">
        <v>1</v>
      </c>
      <c r="S46" t="str">
        <f>$K46</f>
        <v>...1.1.1</v>
      </c>
      <c r="Y46" s="6"/>
      <c r="Z46" s="6" t="s">
        <v>50</v>
      </c>
      <c r="AA46" s="6"/>
      <c r="AB46" s="6" t="s">
        <v>50</v>
      </c>
      <c r="AF46" s="6"/>
      <c r="AG46" s="6" t="s">
        <v>50</v>
      </c>
      <c r="AH46" s="6"/>
      <c r="AI46" s="6" t="s">
        <v>43</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544</v>
      </c>
      <c r="B47" t="s">
        <v>545</v>
      </c>
      <c r="C47" t="s">
        <v>546</v>
      </c>
      <c r="D47" t="s">
        <v>3532</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544</v>
      </c>
      <c r="B48" t="s">
        <v>545</v>
      </c>
      <c r="C48" t="s">
        <v>546</v>
      </c>
      <c r="D48" t="s">
        <v>3532</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544</v>
      </c>
      <c r="B49" t="s">
        <v>545</v>
      </c>
      <c r="C49" t="s">
        <v>546</v>
      </c>
      <c r="D49" t="s">
        <v>3532</v>
      </c>
      <c r="E49" s="6"/>
      <c r="F49" s="6"/>
      <c r="G49" s="6"/>
      <c r="H49" s="6"/>
      <c r="I49" s="6"/>
      <c r="P49" s="6"/>
      <c r="T49" t="s">
        <v>1736</v>
      </c>
      <c r="AN49" t="str">
        <f t="shared" si="1"/>
        <v>Добавить группу потребителей</v>
      </c>
    </row>
    <row r="50" spans="1:40" ht="21" customHeight="1" x14ac:dyDescent="0.15">
      <c r="A50" t="s">
        <v>544</v>
      </c>
      <c r="B50" t="s">
        <v>545</v>
      </c>
      <c r="C50" t="s">
        <v>546</v>
      </c>
      <c r="D50" t="s">
        <v>3532</v>
      </c>
      <c r="E50" s="6"/>
      <c r="F50" s="6"/>
      <c r="G50" s="6"/>
      <c r="H50" s="6"/>
      <c r="T50" t="s">
        <v>1943</v>
      </c>
      <c r="AN50" t="str">
        <f t="shared" si="1"/>
        <v>Добавить наименование признака дифференциации</v>
      </c>
    </row>
    <row r="51" spans="1:40" ht="0.75" customHeight="1" x14ac:dyDescent="0.15">
      <c r="A51" t="s">
        <v>544</v>
      </c>
      <c r="B51" t="s">
        <v>545</v>
      </c>
      <c r="E51" s="6"/>
      <c r="F51" s="6"/>
      <c r="T51" t="s">
        <v>1697</v>
      </c>
      <c r="AN51" t="str">
        <f t="shared" si="1"/>
        <v>Добавить централизованную систему для дифференциации</v>
      </c>
    </row>
    <row r="52" spans="1:40" ht="0.75" customHeight="1" x14ac:dyDescent="0.15">
      <c r="A52" t="s">
        <v>544</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customHeight="1" x14ac:dyDescent="0.15"/>
    <row r="55" spans="1:40" ht="14.25" customHeight="1" x14ac:dyDescent="0.15">
      <c r="S55" t="s">
        <v>1769</v>
      </c>
      <c r="T55" s="6" t="s">
        <v>3533</v>
      </c>
      <c r="U55" s="6"/>
      <c r="V55" s="6"/>
      <c r="W55" s="6"/>
      <c r="X55" s="6"/>
      <c r="Y55" s="6"/>
      <c r="Z55" s="6"/>
      <c r="AA55" s="6"/>
      <c r="AB55" s="6"/>
      <c r="AC55" s="6"/>
      <c r="AD55" s="6"/>
      <c r="AE55" s="6"/>
      <c r="AF55" s="6"/>
      <c r="AG55" s="6"/>
      <c r="AH55" s="6"/>
      <c r="AI55" s="6"/>
      <c r="AJ55" s="6"/>
      <c r="AK55" s="6"/>
    </row>
    <row r="57" spans="1:40" ht="14.25" customHeight="1" x14ac:dyDescent="0.15">
      <c r="S57" t="s">
        <v>1769</v>
      </c>
      <c r="T57" s="6" t="s">
        <v>3534</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3525</v>
      </c>
      <c r="V4" s="6"/>
      <c r="W4" s="6"/>
      <c r="X4" s="6"/>
      <c r="Y4" s="6"/>
      <c r="Z4" s="6"/>
      <c r="AA4" s="6"/>
      <c r="AB4" s="6"/>
      <c r="AC4" s="6" t="e">
        <f>INDEX(PT_DIFFERENTIATION_CS,MATCH(C4,PT_DIFFERENTIATION_CS_ID,0))</f>
        <v>#N/A</v>
      </c>
      <c r="AD4" s="6"/>
      <c r="AE4" s="6"/>
      <c r="AF4" s="6"/>
      <c r="AG4" s="6"/>
      <c r="AH4" s="6"/>
      <c r="AI4" s="6"/>
      <c r="AJ4" s="6"/>
      <c r="AK4" t="s">
        <v>3526</v>
      </c>
      <c r="AN4" t="str">
        <f t="shared" si="0"/>
        <v>Наименование централизованной системы горячего водоснабжения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14.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3527</v>
      </c>
      <c r="W38" s="6" t="s">
        <v>3528</v>
      </c>
      <c r="X38" s="6"/>
      <c r="Y38" s="6" t="s">
        <v>1757</v>
      </c>
      <c r="Z38" s="6"/>
      <c r="AA38" s="6"/>
      <c r="AB38" s="6"/>
      <c r="AC38" t="s">
        <v>3527</v>
      </c>
      <c r="AD38" s="6" t="s">
        <v>3528</v>
      </c>
      <c r="AE38" s="6"/>
      <c r="AF38" s="6" t="s">
        <v>1757</v>
      </c>
      <c r="AG38" s="6"/>
      <c r="AH38" s="6"/>
      <c r="AI38" s="6"/>
      <c r="AJ38" s="6"/>
      <c r="AK38" s="6"/>
    </row>
    <row r="39" spans="1:40" ht="86.25" customHeight="1" x14ac:dyDescent="0.15">
      <c r="B39" t="s">
        <v>443</v>
      </c>
      <c r="C39" t="s">
        <v>444</v>
      </c>
      <c r="D39" t="s">
        <v>445</v>
      </c>
      <c r="E39" t="s">
        <v>1758</v>
      </c>
      <c r="F39" t="s">
        <v>1759</v>
      </c>
      <c r="G39" t="s">
        <v>1760</v>
      </c>
      <c r="I39" t="s">
        <v>1945</v>
      </c>
      <c r="J39" t="s">
        <v>1763</v>
      </c>
      <c r="K39" t="s">
        <v>1946</v>
      </c>
      <c r="L39" t="s">
        <v>1739</v>
      </c>
      <c r="S39" s="6"/>
      <c r="T39" s="6"/>
      <c r="V39" t="s">
        <v>3529</v>
      </c>
      <c r="W39" t="s">
        <v>3530</v>
      </c>
      <c r="X39" t="s">
        <v>3531</v>
      </c>
      <c r="Y39" t="s">
        <v>1767</v>
      </c>
      <c r="Z39" s="6" t="s">
        <v>1768</v>
      </c>
      <c r="AA39" s="6"/>
      <c r="AB39" s="6"/>
      <c r="AC39" t="s">
        <v>3529</v>
      </c>
      <c r="AD39" t="s">
        <v>3530</v>
      </c>
      <c r="AE39" t="s">
        <v>3531</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544</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544</v>
      </c>
      <c r="B42" t="s">
        <v>545</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544</v>
      </c>
      <c r="B43" t="s">
        <v>545</v>
      </c>
      <c r="C43" t="s">
        <v>546</v>
      </c>
      <c r="E43" s="6"/>
      <c r="F43" s="6"/>
      <c r="G43" s="6">
        <v>1</v>
      </c>
      <c r="S43" t="str">
        <f>INDEX(PT_DIFFERENTIATION_NUM_CS,MATCH(C43,PT_DIFFERENTIATION_CS_ID,0))</f>
        <v>..</v>
      </c>
      <c r="T43" t="s">
        <v>3525</v>
      </c>
      <c r="V43" s="6"/>
      <c r="W43" s="6"/>
      <c r="X43" s="6"/>
      <c r="Y43" s="6"/>
      <c r="Z43" s="6"/>
      <c r="AA43" s="6"/>
      <c r="AB43" s="6"/>
      <c r="AC43" s="6" t="str">
        <f>INDEX(PT_DIFFERENTIATION_CS,MATCH(C43,PT_DIFFERENTIATION_CS_ID,0))</f>
        <v/>
      </c>
      <c r="AD43" s="6"/>
      <c r="AE43" s="6"/>
      <c r="AF43" s="6"/>
      <c r="AG43" s="6"/>
      <c r="AH43" s="6"/>
      <c r="AI43" s="6"/>
      <c r="AJ43" s="6"/>
      <c r="AK43" t="s">
        <v>3526</v>
      </c>
      <c r="AN43" t="str">
        <f t="shared" si="1"/>
        <v>Наименование централизованной системы горячего водоснабжения</v>
      </c>
    </row>
    <row r="44" spans="1:40" ht="23.25" customHeight="1" x14ac:dyDescent="0.15">
      <c r="A44" t="s">
        <v>544</v>
      </c>
      <c r="B44" t="s">
        <v>545</v>
      </c>
      <c r="C44" t="s">
        <v>546</v>
      </c>
      <c r="D44" t="s">
        <v>3532</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544</v>
      </c>
      <c r="B45" t="s">
        <v>545</v>
      </c>
      <c r="C45" t="s">
        <v>546</v>
      </c>
      <c r="D45" t="s">
        <v>3532</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544</v>
      </c>
      <c r="B46" t="s">
        <v>545</v>
      </c>
      <c r="C46" t="s">
        <v>546</v>
      </c>
      <c r="D46" t="s">
        <v>3532</v>
      </c>
      <c r="E46" s="6"/>
      <c r="F46" s="6"/>
      <c r="G46" s="6"/>
      <c r="H46" s="6"/>
      <c r="I46" s="6"/>
      <c r="J46" s="6"/>
      <c r="K46" s="6" t="str">
        <f>J45&amp;".1"</f>
        <v>...1.1.1</v>
      </c>
      <c r="P46" s="6"/>
      <c r="Q46" s="6"/>
      <c r="R46">
        <v>1</v>
      </c>
      <c r="S46" t="str">
        <f>$K46</f>
        <v>...1.1.1</v>
      </c>
      <c r="Y46" s="6"/>
      <c r="Z46" s="6" t="s">
        <v>50</v>
      </c>
      <c r="AA46" s="6"/>
      <c r="AB46" s="6" t="s">
        <v>50</v>
      </c>
      <c r="AF46" s="6"/>
      <c r="AG46" s="6" t="s">
        <v>50</v>
      </c>
      <c r="AH46" s="6"/>
      <c r="AI46" s="6" t="s">
        <v>43</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544</v>
      </c>
      <c r="B47" t="s">
        <v>545</v>
      </c>
      <c r="C47" t="s">
        <v>546</v>
      </c>
      <c r="D47" t="s">
        <v>3532</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544</v>
      </c>
      <c r="B48" t="s">
        <v>545</v>
      </c>
      <c r="C48" t="s">
        <v>546</v>
      </c>
      <c r="D48" t="s">
        <v>3532</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544</v>
      </c>
      <c r="B49" t="s">
        <v>545</v>
      </c>
      <c r="C49" t="s">
        <v>546</v>
      </c>
      <c r="D49" t="s">
        <v>3532</v>
      </c>
      <c r="E49" s="6"/>
      <c r="F49" s="6"/>
      <c r="G49" s="6"/>
      <c r="H49" s="6"/>
      <c r="I49" s="6"/>
      <c r="P49" s="6"/>
      <c r="T49" t="s">
        <v>1736</v>
      </c>
      <c r="AN49" t="str">
        <f t="shared" si="1"/>
        <v>Добавить группу потребителей</v>
      </c>
    </row>
    <row r="50" spans="1:40" ht="21" customHeight="1" x14ac:dyDescent="0.15">
      <c r="A50" t="s">
        <v>544</v>
      </c>
      <c r="B50" t="s">
        <v>545</v>
      </c>
      <c r="C50" t="s">
        <v>546</v>
      </c>
      <c r="D50" t="s">
        <v>3532</v>
      </c>
      <c r="E50" s="6"/>
      <c r="F50" s="6"/>
      <c r="G50" s="6"/>
      <c r="H50" s="6"/>
      <c r="T50" t="s">
        <v>1943</v>
      </c>
      <c r="AN50" t="str">
        <f t="shared" si="1"/>
        <v>Добавить наименование признака дифференциации</v>
      </c>
    </row>
    <row r="51" spans="1:40" ht="0.75" customHeight="1" x14ac:dyDescent="0.15">
      <c r="A51" t="s">
        <v>544</v>
      </c>
      <c r="B51" t="s">
        <v>545</v>
      </c>
      <c r="E51" s="6"/>
      <c r="F51" s="6"/>
      <c r="T51" t="s">
        <v>1697</v>
      </c>
      <c r="AN51" t="str">
        <f t="shared" si="1"/>
        <v>Добавить централизованную систему для дифференциации</v>
      </c>
    </row>
    <row r="52" spans="1:40" ht="0.75" customHeight="1" x14ac:dyDescent="0.15">
      <c r="A52" t="s">
        <v>544</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customHeight="1" x14ac:dyDescent="0.15"/>
    <row r="55" spans="1:40" ht="14.25" customHeight="1" x14ac:dyDescent="0.15">
      <c r="S55" t="s">
        <v>1769</v>
      </c>
      <c r="T55" s="6" t="s">
        <v>3533</v>
      </c>
      <c r="U55" s="6"/>
      <c r="V55" s="6"/>
      <c r="W55" s="6"/>
      <c r="X55" s="6"/>
      <c r="Y55" s="6"/>
      <c r="Z55" s="6"/>
      <c r="AA55" s="6"/>
      <c r="AB55" s="6"/>
      <c r="AC55" s="6"/>
      <c r="AD55" s="6"/>
      <c r="AE55" s="6"/>
      <c r="AF55" s="6"/>
      <c r="AG55" s="6"/>
      <c r="AH55" s="6"/>
      <c r="AI55" s="6"/>
      <c r="AJ55" s="6"/>
      <c r="AK55" s="6"/>
    </row>
    <row r="57" spans="1:40" ht="14.25" customHeight="1" x14ac:dyDescent="0.15">
      <c r="S57" t="s">
        <v>1769</v>
      </c>
      <c r="T57" s="6" t="s">
        <v>3534</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67"/>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2" width="3.7109375" customWidth="1"/>
    <col min="33" max="33" width="24.7109375" customWidth="1"/>
    <col min="34" max="36" width="3.7109375" customWidth="1"/>
    <col min="37" max="37" width="24.7109375" customWidth="1"/>
    <col min="38" max="40" width="3.7109375" customWidth="1"/>
    <col min="41" max="41" width="18.85546875" customWidth="1"/>
    <col min="42" max="44" width="3.7109375" customWidth="1"/>
    <col min="45" max="45" width="18.85546875" customWidth="1"/>
    <col min="46" max="49" width="21.7109375" customWidth="1"/>
    <col min="50" max="50" width="11.7109375" customWidth="1"/>
    <col min="51" max="51" width="3.7109375" customWidth="1"/>
    <col min="52" max="52" width="11.7109375" customWidth="1"/>
    <col min="53" max="53" width="8.5703125" hidden="1" customWidth="1"/>
    <col min="54" max="54" width="4.7109375" customWidth="1"/>
    <col min="55" max="55" width="115.7109375" customWidth="1"/>
    <col min="58" max="58" width="11.140625" customWidth="1"/>
  </cols>
  <sheetData>
    <row r="1" spans="5:58" ht="14.25" hidden="1" customHeight="1" x14ac:dyDescent="0.15"/>
    <row r="2" spans="5:58"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s="6"/>
      <c r="AN2" s="6"/>
      <c r="AO2" s="6"/>
      <c r="AP2" s="6"/>
      <c r="AQ2" s="6"/>
      <c r="AR2" s="6"/>
      <c r="AS2" s="6"/>
      <c r="AT2" s="6"/>
      <c r="AU2" s="6"/>
      <c r="AV2" s="6"/>
      <c r="AW2" s="6"/>
      <c r="AX2" s="6"/>
      <c r="AY2" s="6"/>
      <c r="AZ2" s="6"/>
      <c r="BA2" s="6"/>
      <c r="BB2" s="6"/>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t="str">
        <f t="shared" ref="BF2:BF8" si="0">IF(T2="","",T2)</f>
        <v>Наименование тарифа</v>
      </c>
    </row>
    <row r="3" spans="5:58"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s="6"/>
      <c r="AN3" s="6"/>
      <c r="AO3" s="6"/>
      <c r="AP3" s="6"/>
      <c r="AQ3" s="6"/>
      <c r="AR3" s="6"/>
      <c r="AS3" s="6"/>
      <c r="AT3" s="6"/>
      <c r="AU3" s="6"/>
      <c r="AV3" s="6"/>
      <c r="AW3" s="6"/>
      <c r="AX3" s="6"/>
      <c r="AY3" s="6"/>
      <c r="AZ3" s="6"/>
      <c r="BA3" s="6"/>
      <c r="BB3" s="6"/>
      <c r="BC3" t="s">
        <v>1722</v>
      </c>
      <c r="BF3" t="str">
        <f t="shared" si="0"/>
        <v>Территория действия тарифа</v>
      </c>
    </row>
    <row r="4" spans="5:58" ht="33.75" hidden="1" customHeight="1" x14ac:dyDescent="0.15">
      <c r="E4" s="6"/>
      <c r="F4" s="6"/>
      <c r="G4" s="6">
        <v>1</v>
      </c>
      <c r="S4" t="e">
        <f>INDEX(PT_DIFFERENTIATION_NUM_CS,MATCH(C4,PT_DIFFERENTIATION_CS_ID,0))</f>
        <v>#N/A</v>
      </c>
      <c r="T4" t="s">
        <v>3525</v>
      </c>
      <c r="V4" s="6"/>
      <c r="W4" s="6"/>
      <c r="X4" s="6"/>
      <c r="Y4" s="6"/>
      <c r="Z4" s="6"/>
      <c r="AA4" s="6"/>
      <c r="AB4" s="6"/>
      <c r="AC4" s="6"/>
      <c r="AD4" s="6" t="e">
        <f>INDEX(PT_DIFFERENTIATION_CS,MATCH(C4,PT_DIFFERENTIATION_CS_ID,0))</f>
        <v>#N/A</v>
      </c>
      <c r="AE4" s="6"/>
      <c r="AF4" s="6"/>
      <c r="AG4" s="6"/>
      <c r="AH4" s="6"/>
      <c r="AI4" s="6"/>
      <c r="AJ4" s="6"/>
      <c r="AK4" s="6"/>
      <c r="AL4" s="6"/>
      <c r="AM4" s="6"/>
      <c r="AN4" s="6"/>
      <c r="AO4" s="6"/>
      <c r="AP4" s="6"/>
      <c r="AQ4" s="6"/>
      <c r="AR4" s="6"/>
      <c r="AS4" s="6"/>
      <c r="AT4" s="6"/>
      <c r="AU4" s="6"/>
      <c r="AV4" s="6"/>
      <c r="AW4" s="6"/>
      <c r="AX4" s="6"/>
      <c r="AY4" s="6"/>
      <c r="AZ4" s="6"/>
      <c r="BA4" s="6"/>
      <c r="BB4" s="6"/>
      <c r="BC4" t="s">
        <v>3526</v>
      </c>
      <c r="BF4" t="str">
        <f t="shared" si="0"/>
        <v>Наименование централизованной системы горячего водоснабжения</v>
      </c>
    </row>
    <row r="5" spans="5:58" ht="14.25" hidden="1" customHeight="1" x14ac:dyDescent="0.15">
      <c r="E5" s="6"/>
      <c r="F5" s="6"/>
      <c r="G5" s="6"/>
      <c r="H5" s="6">
        <v>1</v>
      </c>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t="s">
        <v>1726</v>
      </c>
      <c r="BF5" t="str">
        <f t="shared" si="0"/>
        <v/>
      </c>
    </row>
    <row r="6" spans="5:58" ht="14.25" hidden="1" customHeight="1" x14ac:dyDescent="0.15">
      <c r="E6" s="6"/>
      <c r="F6" s="6"/>
      <c r="G6" s="6"/>
      <c r="H6" s="6"/>
      <c r="I6" s="6" t="str">
        <f>S5&amp;".1"</f>
        <v>.1</v>
      </c>
      <c r="L6" t="s">
        <v>1727</v>
      </c>
      <c r="P6" s="6">
        <v>1</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F6" t="str">
        <f t="shared" si="0"/>
        <v/>
      </c>
    </row>
    <row r="7" spans="5:58" ht="14.25" hidden="1" customHeight="1" x14ac:dyDescent="0.15">
      <c r="E7" s="6"/>
      <c r="F7" s="6"/>
      <c r="G7" s="6"/>
      <c r="H7" s="6"/>
      <c r="I7" s="6"/>
      <c r="J7" s="6" t="str">
        <f>S5&amp;".1"</f>
        <v>.1</v>
      </c>
      <c r="P7" s="6"/>
      <c r="Q7" s="6">
        <v>1</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F7" t="str">
        <f t="shared" si="0"/>
        <v/>
      </c>
    </row>
    <row r="8" spans="5:58" ht="11.25" hidden="1" customHeight="1" x14ac:dyDescent="0.15">
      <c r="E8" s="6"/>
      <c r="F8" s="6"/>
      <c r="G8" s="6"/>
      <c r="H8" s="6"/>
      <c r="I8" s="6"/>
      <c r="J8" s="6"/>
      <c r="K8" s="6" t="e">
        <f>S4&amp;".1"</f>
        <v>#N/A</v>
      </c>
      <c r="P8" s="6"/>
      <c r="Q8" s="6"/>
      <c r="R8" s="6">
        <v>1</v>
      </c>
      <c r="S8" s="6" t="e">
        <f>$K8</f>
        <v>#N/A</v>
      </c>
      <c r="T8" s="6"/>
      <c r="AA8" t="s">
        <v>50</v>
      </c>
      <c r="AC8" t="s">
        <v>50</v>
      </c>
      <c r="AD8" s="6" t="s">
        <v>50</v>
      </c>
      <c r="AE8" s="6"/>
      <c r="AF8" s="6">
        <v>1</v>
      </c>
      <c r="AG8" s="6"/>
      <c r="AH8" s="6" t="s">
        <v>50</v>
      </c>
      <c r="AI8" s="6"/>
      <c r="AJ8" s="6">
        <v>1</v>
      </c>
      <c r="AK8" s="6" t="s">
        <v>4</v>
      </c>
      <c r="AL8" s="6" t="s">
        <v>50</v>
      </c>
      <c r="AM8" s="6"/>
      <c r="AN8" s="6">
        <v>1</v>
      </c>
      <c r="AO8" s="6"/>
      <c r="AP8" s="6" t="s">
        <v>50</v>
      </c>
      <c r="AR8">
        <v>1</v>
      </c>
      <c r="AS8" t="s">
        <v>4</v>
      </c>
      <c r="AY8" t="s">
        <v>50</v>
      </c>
      <c r="BA8" t="s">
        <v>50</v>
      </c>
      <c r="BC8" s="6" t="s">
        <v>1956</v>
      </c>
      <c r="BF8" t="str">
        <f t="shared" si="0"/>
        <v/>
      </c>
    </row>
    <row r="9" spans="5:58" ht="11.25" hidden="1" customHeight="1" x14ac:dyDescent="0.15">
      <c r="E9" s="6"/>
      <c r="F9" s="6"/>
      <c r="G9" s="6"/>
      <c r="H9" s="6"/>
      <c r="I9" s="6"/>
      <c r="J9" s="6"/>
      <c r="K9" s="6"/>
      <c r="P9" s="6"/>
      <c r="Q9" s="6"/>
      <c r="R9" s="6"/>
      <c r="S9" s="6"/>
      <c r="T9" s="6"/>
      <c r="AD9" s="6"/>
      <c r="AE9" s="6"/>
      <c r="AF9" s="6"/>
      <c r="AG9" s="6"/>
      <c r="AH9" s="6"/>
      <c r="AI9" s="6"/>
      <c r="AJ9" s="6"/>
      <c r="AK9" s="6"/>
      <c r="AL9" s="6"/>
      <c r="AM9" s="6"/>
      <c r="AN9" s="6"/>
      <c r="AO9" s="6"/>
      <c r="AP9" s="6"/>
      <c r="AS9" t="s">
        <v>1957</v>
      </c>
      <c r="BC9" s="6"/>
    </row>
    <row r="10" spans="5:58" ht="11.25" hidden="1" customHeight="1" x14ac:dyDescent="0.15">
      <c r="E10" s="6"/>
      <c r="F10" s="6"/>
      <c r="G10" s="6"/>
      <c r="H10" s="6"/>
      <c r="I10" s="6"/>
      <c r="J10" s="6"/>
      <c r="K10" s="6"/>
      <c r="P10" s="6"/>
      <c r="Q10" s="6"/>
      <c r="R10" s="6"/>
      <c r="S10" s="6"/>
      <c r="T10" s="6"/>
      <c r="AD10" s="6"/>
      <c r="AE10" s="6"/>
      <c r="AF10" s="6"/>
      <c r="AG10" s="6"/>
      <c r="AH10" s="6"/>
      <c r="AI10" s="6"/>
      <c r="AJ10" s="6"/>
      <c r="AK10" s="6"/>
      <c r="AL10" s="6"/>
      <c r="AO10" t="s">
        <v>1958</v>
      </c>
      <c r="BC10" s="6"/>
    </row>
    <row r="11" spans="5:58" ht="11.25" hidden="1" customHeight="1" x14ac:dyDescent="0.15">
      <c r="E11" s="6"/>
      <c r="F11" s="6"/>
      <c r="G11" s="6"/>
      <c r="H11" s="6"/>
      <c r="I11" s="6"/>
      <c r="J11" s="6"/>
      <c r="K11" s="6"/>
      <c r="P11" s="6"/>
      <c r="Q11" s="6"/>
      <c r="R11" s="6"/>
      <c r="S11" s="6"/>
      <c r="T11" s="6"/>
      <c r="AD11" s="6"/>
      <c r="AE11" s="6"/>
      <c r="AF11" s="6"/>
      <c r="AG11" s="6"/>
      <c r="AH11" s="6"/>
      <c r="AK11" t="s">
        <v>1959</v>
      </c>
      <c r="BC11" s="6"/>
    </row>
    <row r="12" spans="5:58" ht="11.25" hidden="1" customHeight="1" x14ac:dyDescent="0.15">
      <c r="E12" s="6"/>
      <c r="F12" s="6"/>
      <c r="G12" s="6"/>
      <c r="H12" s="6"/>
      <c r="I12" s="6"/>
      <c r="J12" s="6"/>
      <c r="K12" s="6"/>
      <c r="P12" s="6"/>
      <c r="Q12" s="6"/>
      <c r="R12" s="6"/>
      <c r="S12" s="6"/>
      <c r="T12" s="6"/>
      <c r="W12" t="str">
        <f>Z8&amp;"-"&amp;AB8</f>
        <v>-</v>
      </c>
      <c r="Y12" t="str">
        <f>AB8&amp;"-"&amp;AD8</f>
        <v>-да</v>
      </c>
      <c r="AD12" s="6"/>
      <c r="AG12" t="s">
        <v>1960</v>
      </c>
      <c r="AU12" t="str">
        <f>AX8&amp;"-"&amp;AZ8</f>
        <v>-</v>
      </c>
      <c r="AW12" t="str">
        <f>AZ8&amp;"-"&amp;BB8</f>
        <v>-</v>
      </c>
      <c r="BB12" t="str">
        <f>BE8&amp;"-"&amp;BG8</f>
        <v>-</v>
      </c>
      <c r="BC12" s="6"/>
      <c r="BF12" t="str">
        <f t="shared" ref="BF12:BF18" si="1">IF(T12="","",T12)</f>
        <v/>
      </c>
    </row>
    <row r="13" spans="5:58" ht="11.25" hidden="1" customHeight="1" x14ac:dyDescent="0.15">
      <c r="E13" s="6"/>
      <c r="F13" s="6"/>
      <c r="G13" s="6"/>
      <c r="H13" s="6"/>
      <c r="I13" s="6"/>
      <c r="J13" s="6"/>
      <c r="P13" s="6"/>
      <c r="Q13" s="6"/>
      <c r="T13" t="s">
        <v>1801</v>
      </c>
      <c r="BC13" s="6"/>
      <c r="BF13" t="str">
        <f t="shared" si="1"/>
        <v>Добавить строку</v>
      </c>
    </row>
    <row r="14" spans="5:58" ht="14.25" hidden="1" customHeight="1" x14ac:dyDescent="0.15">
      <c r="E14" s="6"/>
      <c r="F14" s="6"/>
      <c r="G14" s="6"/>
      <c r="H14" s="6"/>
      <c r="I14" s="6"/>
      <c r="P14" s="6"/>
      <c r="BF14" t="str">
        <f t="shared" si="1"/>
        <v/>
      </c>
    </row>
    <row r="15" spans="5:58" ht="14.25" hidden="1" customHeight="1" x14ac:dyDescent="0.15">
      <c r="E15" s="6"/>
      <c r="F15" s="6"/>
      <c r="G15" s="6"/>
      <c r="H15" s="6"/>
      <c r="BF15" t="str">
        <f t="shared" si="1"/>
        <v/>
      </c>
    </row>
    <row r="16" spans="5:58" ht="14.25" hidden="1" customHeight="1" x14ac:dyDescent="0.15">
      <c r="E16" s="6"/>
      <c r="F16" s="6"/>
      <c r="G16" s="6"/>
      <c r="BF16" t="str">
        <f t="shared" si="1"/>
        <v/>
      </c>
    </row>
    <row r="17" spans="5:58" ht="14.25" hidden="1" customHeight="1" x14ac:dyDescent="0.15">
      <c r="E17" s="6"/>
      <c r="F17" s="6"/>
      <c r="T17" t="s">
        <v>1697</v>
      </c>
      <c r="BF17" t="str">
        <f t="shared" si="1"/>
        <v>Добавить централизованную систему для дифференциации</v>
      </c>
    </row>
    <row r="18" spans="5:58" ht="14.25" hidden="1" customHeight="1" x14ac:dyDescent="0.15">
      <c r="E18" s="6"/>
      <c r="T18" t="s">
        <v>1698</v>
      </c>
      <c r="BF18" t="str">
        <f t="shared" si="1"/>
        <v>Добавить территорию для дифференциации</v>
      </c>
    </row>
    <row r="19" spans="5:58" ht="14.25" hidden="1" customHeight="1" x14ac:dyDescent="0.15"/>
    <row r="20" spans="5:58" ht="14.25" hidden="1" customHeight="1" x14ac:dyDescent="0.15">
      <c r="AD20" t="s">
        <v>43</v>
      </c>
      <c r="AF20">
        <v>1</v>
      </c>
      <c r="AH20" t="s">
        <v>43</v>
      </c>
      <c r="AJ20">
        <v>1</v>
      </c>
      <c r="AL20" t="s">
        <v>43</v>
      </c>
      <c r="AN20">
        <v>1</v>
      </c>
      <c r="AP20" t="s">
        <v>43</v>
      </c>
      <c r="AR20">
        <v>1</v>
      </c>
      <c r="AY20" t="s">
        <v>50</v>
      </c>
      <c r="BA20" t="s">
        <v>50</v>
      </c>
    </row>
    <row r="21" spans="5:58" ht="14.25" hidden="1" customHeight="1" x14ac:dyDescent="0.15"/>
    <row r="22" spans="5:58" ht="14.25" hidden="1" customHeight="1" x14ac:dyDescent="0.15">
      <c r="O22" t="s">
        <v>1738</v>
      </c>
    </row>
    <row r="23" spans="5:58" ht="14.25" hidden="1" customHeight="1" x14ac:dyDescent="0.15"/>
    <row r="24" spans="5:58" ht="14.25" hidden="1" customHeight="1" x14ac:dyDescent="0.15">
      <c r="O24" t="s">
        <v>1739</v>
      </c>
      <c r="AA24" t="s">
        <v>1741</v>
      </c>
      <c r="AC24" t="s">
        <v>1742</v>
      </c>
      <c r="AD24" t="s">
        <v>1802</v>
      </c>
      <c r="AH24" t="s">
        <v>1802</v>
      </c>
      <c r="AK24" t="s">
        <v>1961</v>
      </c>
      <c r="AL24" t="s">
        <v>1802</v>
      </c>
      <c r="AP24" t="s">
        <v>1802</v>
      </c>
      <c r="AY24" t="s">
        <v>1741</v>
      </c>
      <c r="BA24" t="s">
        <v>1742</v>
      </c>
    </row>
    <row r="25" spans="5:58" ht="14.25" hidden="1" customHeight="1" x14ac:dyDescent="0.15"/>
    <row r="26" spans="5:58" ht="14.25" hidden="1" customHeight="1" x14ac:dyDescent="0.15"/>
    <row r="28" spans="5:58" ht="33.75" customHeight="1" x14ac:dyDescent="0.15">
      <c r="S28" s="6"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5:58" ht="14.25" customHeight="1" x14ac:dyDescent="0.15">
      <c r="S29" s="6" t="str">
        <f>IF(org=0,"Не определено",org)</f>
        <v>КГУП "Примтеплоэнерго"</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5:58" ht="14.25" hidden="1" customHeight="1" x14ac:dyDescent="0.15"/>
    <row r="31" spans="5:58" ht="25.5" hidden="1" customHeight="1" x14ac:dyDescent="0.15">
      <c r="S31" s="6" t="s">
        <v>25</v>
      </c>
      <c r="T31" s="6"/>
      <c r="V31" s="6"/>
      <c r="W31" s="6"/>
      <c r="X31" s="6"/>
      <c r="Y31" s="6"/>
      <c r="Z31" s="6"/>
      <c r="AA31" s="6"/>
      <c r="AB31" s="6"/>
      <c r="AD31" s="6" t="str">
        <f>IF(TITLE_NAME_OR_PR_CHANGE="",IF(TITLE_NAME_OR_PR="","",TITLE_NAME_OR_PR),TITLE_NAME_OR_PR_CHANGE)</f>
        <v/>
      </c>
      <c r="AE31" s="6"/>
      <c r="AF31" s="6"/>
      <c r="AG31" s="6"/>
      <c r="AH31" s="6"/>
      <c r="AI31" s="6"/>
      <c r="AJ31" s="6"/>
      <c r="AK31" s="6"/>
      <c r="AL31" s="6"/>
      <c r="AM31" s="6"/>
      <c r="AN31" s="6"/>
      <c r="AO31" s="6"/>
      <c r="AP31" s="6"/>
      <c r="AQ31" s="6"/>
      <c r="AR31" s="6"/>
      <c r="AS31" s="6"/>
      <c r="AT31" s="6"/>
      <c r="AU31" s="6"/>
      <c r="AV31" s="6"/>
      <c r="AW31" s="6"/>
      <c r="AX31" s="6"/>
      <c r="AY31" s="6"/>
      <c r="AZ31" s="6"/>
    </row>
    <row r="32" spans="5:58" ht="18.75" hidden="1" customHeight="1" x14ac:dyDescent="0.15">
      <c r="S32" s="6" t="s">
        <v>1744</v>
      </c>
      <c r="T32" s="6"/>
      <c r="V32" s="6"/>
      <c r="W32" s="6"/>
      <c r="X32" s="6"/>
      <c r="Y32" s="6"/>
      <c r="Z32" s="6"/>
      <c r="AA32" s="6"/>
      <c r="AB32" s="6"/>
      <c r="AD32" s="6" t="str">
        <f>IF(TITLE_DATE_CHANGE_PERIOD="",IF(TITLE_DATE_PR="","",TITLE_DATE_PR),TITLE_DATE_CHANGE_PERIOD)</f>
        <v/>
      </c>
      <c r="AE32" s="6"/>
      <c r="AF32" s="6"/>
      <c r="AG32" s="6"/>
      <c r="AH32" s="6"/>
      <c r="AI32" s="6"/>
      <c r="AJ32" s="6"/>
      <c r="AK32" s="6"/>
      <c r="AL32" s="6"/>
      <c r="AM32" s="6"/>
      <c r="AN32" s="6"/>
      <c r="AO32" s="6"/>
      <c r="AP32" s="6"/>
      <c r="AQ32" s="6"/>
      <c r="AR32" s="6"/>
      <c r="AS32" s="6"/>
      <c r="AT32" s="6"/>
      <c r="AU32" s="6"/>
      <c r="AV32" s="6"/>
      <c r="AW32" s="6"/>
      <c r="AX32" s="6"/>
      <c r="AY32" s="6"/>
      <c r="AZ32" s="6"/>
    </row>
    <row r="33" spans="1:58" ht="18.75" hidden="1" customHeight="1" x14ac:dyDescent="0.15">
      <c r="S33" s="6" t="s">
        <v>1745</v>
      </c>
      <c r="T33" s="6"/>
      <c r="V33" s="6"/>
      <c r="W33" s="6"/>
      <c r="X33" s="6"/>
      <c r="Y33" s="6"/>
      <c r="Z33" s="6"/>
      <c r="AA33" s="6"/>
      <c r="AB33" s="6"/>
      <c r="AD33" s="6" t="str">
        <f>IF(TITLE_NUMBER_PR_CHANGE="",IF(TITLE_NUMBER_PR="","",TITLE_NUMBER_PR),TITLE_NUMBER_PR_CHANGE)</f>
        <v/>
      </c>
      <c r="AE33" s="6"/>
      <c r="AF33" s="6"/>
      <c r="AG33" s="6"/>
      <c r="AH33" s="6"/>
      <c r="AI33" s="6"/>
      <c r="AJ33" s="6"/>
      <c r="AK33" s="6"/>
      <c r="AL33" s="6"/>
      <c r="AM33" s="6"/>
      <c r="AN33" s="6"/>
      <c r="AO33" s="6"/>
      <c r="AP33" s="6"/>
      <c r="AQ33" s="6"/>
      <c r="AR33" s="6"/>
      <c r="AS33" s="6"/>
      <c r="AT33" s="6"/>
      <c r="AU33" s="6"/>
      <c r="AV33" s="6"/>
      <c r="AW33" s="6"/>
      <c r="AX33" s="6"/>
      <c r="AY33" s="6"/>
      <c r="AZ33" s="6"/>
    </row>
    <row r="34" spans="1:58" ht="18.75" hidden="1" customHeight="1" x14ac:dyDescent="0.15">
      <c r="S34" s="6" t="s">
        <v>26</v>
      </c>
      <c r="T34" s="6"/>
      <c r="V34" s="6"/>
      <c r="W34" s="6"/>
      <c r="X34" s="6"/>
      <c r="Y34" s="6"/>
      <c r="Z34" s="6"/>
      <c r="AA34" s="6"/>
      <c r="AB34" s="6"/>
      <c r="AD34" s="6" t="str">
        <f>IF(TITLE_IST_PUB_CHANGE="",IF(TITLE_IST_PUB="","",TITLE_IST_PUB),TITLE_IST_PUB_CHANGE)</f>
        <v/>
      </c>
      <c r="AE34" s="6"/>
      <c r="AF34" s="6"/>
      <c r="AG34" s="6"/>
      <c r="AH34" s="6"/>
      <c r="AI34" s="6"/>
      <c r="AJ34" s="6"/>
      <c r="AK34" s="6"/>
      <c r="AL34" s="6"/>
      <c r="AM34" s="6"/>
      <c r="AN34" s="6"/>
      <c r="AO34" s="6"/>
      <c r="AP34" s="6"/>
      <c r="AQ34" s="6"/>
      <c r="AR34" s="6"/>
      <c r="AS34" s="6"/>
      <c r="AT34" s="6"/>
      <c r="AU34" s="6"/>
      <c r="AV34" s="6"/>
      <c r="AW34" s="6"/>
      <c r="AX34" s="6"/>
      <c r="AY34" s="6"/>
      <c r="AZ34" s="6"/>
    </row>
    <row r="35" spans="1:58" ht="14.25" hidden="1" customHeight="1" x14ac:dyDescent="0.15"/>
    <row r="36" spans="1:58" ht="18.75" hidden="1" customHeight="1" x14ac:dyDescent="0.15">
      <c r="S36" s="6" t="s">
        <v>1744</v>
      </c>
      <c r="T36" s="6"/>
      <c r="V36" s="6"/>
      <c r="W36" s="6"/>
      <c r="X36" s="6"/>
      <c r="Y36" s="6"/>
      <c r="Z36" s="6"/>
      <c r="AA36" s="6"/>
      <c r="AB36" s="6"/>
      <c r="AD36" s="6" t="str">
        <f>IF(TITLE_DATE_CHANGE_PERIOD="",IF(TITLE_DATE_PR="","",TITLE_DATE_PR),TITLE_DATE_CHANGE_PERIOD)</f>
        <v/>
      </c>
      <c r="AE36" s="6"/>
      <c r="AF36" s="6"/>
      <c r="AG36" s="6"/>
      <c r="AH36" s="6"/>
      <c r="AI36" s="6"/>
      <c r="AJ36" s="6"/>
      <c r="AK36" s="6"/>
      <c r="AL36" s="6"/>
      <c r="AM36" s="6"/>
      <c r="AN36" s="6"/>
      <c r="AO36" s="6"/>
      <c r="AP36" s="6"/>
      <c r="AQ36" s="6"/>
      <c r="AR36" s="6"/>
      <c r="AS36" s="6"/>
      <c r="AT36" s="6"/>
      <c r="AU36" s="6"/>
      <c r="AV36" s="6"/>
      <c r="AW36" s="6"/>
      <c r="AX36" s="6"/>
      <c r="AY36" s="6"/>
      <c r="AZ36" s="6"/>
    </row>
    <row r="37" spans="1:58" ht="18.75" hidden="1" customHeight="1" x14ac:dyDescent="0.15">
      <c r="S37" s="6" t="s">
        <v>1745</v>
      </c>
      <c r="T37" s="6"/>
      <c r="V37" s="6"/>
      <c r="W37" s="6"/>
      <c r="X37" s="6"/>
      <c r="Y37" s="6"/>
      <c r="Z37" s="6"/>
      <c r="AA37" s="6"/>
      <c r="AB37" s="6"/>
      <c r="AD37" s="6" t="str">
        <f>IF(TITLE_NUMBER_PR_CHANGE="",IF(TITLE_NUMBER_PR="","",TITLE_NUMBER_PR),TITLE_NUMBER_PR_CHANGE)</f>
        <v/>
      </c>
      <c r="AE37" s="6"/>
      <c r="AF37" s="6"/>
      <c r="AG37" s="6"/>
      <c r="AH37" s="6"/>
      <c r="AI37" s="6"/>
      <c r="AJ37" s="6"/>
      <c r="AK37" s="6"/>
      <c r="AL37" s="6"/>
      <c r="AM37" s="6"/>
      <c r="AN37" s="6"/>
      <c r="AO37" s="6"/>
      <c r="AP37" s="6"/>
      <c r="AQ37" s="6"/>
      <c r="AR37" s="6"/>
      <c r="AS37" s="6"/>
      <c r="AT37" s="6"/>
      <c r="AU37" s="6"/>
      <c r="AV37" s="6"/>
      <c r="AW37" s="6"/>
      <c r="AX37" s="6"/>
      <c r="AY37" s="6"/>
      <c r="AZ37" s="6"/>
    </row>
    <row r="38" spans="1:58" ht="0" hidden="1" customHeight="1" x14ac:dyDescent="0.15">
      <c r="AC38" t="s">
        <v>1748</v>
      </c>
      <c r="BA38" t="s">
        <v>1748</v>
      </c>
    </row>
    <row r="39" spans="1:58" ht="14.25" customHeight="1" x14ac:dyDescent="0.15">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8" ht="14.25" customHeight="1" x14ac:dyDescent="0.15">
      <c r="S40" s="6" t="s">
        <v>593</v>
      </c>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t="s">
        <v>594</v>
      </c>
    </row>
    <row r="41" spans="1:58" ht="14.25" customHeight="1" x14ac:dyDescent="0.15">
      <c r="S41" s="6" t="s">
        <v>75</v>
      </c>
      <c r="T41" s="6" t="s">
        <v>1962</v>
      </c>
      <c r="V41" s="6" t="s">
        <v>1750</v>
      </c>
      <c r="W41" s="6"/>
      <c r="X41" s="6"/>
      <c r="Y41" s="6"/>
      <c r="Z41" s="6"/>
      <c r="AA41" s="6"/>
      <c r="AB41" s="6"/>
      <c r="AC41" s="6" t="s">
        <v>1751</v>
      </c>
      <c r="AD41" s="6" t="s">
        <v>1963</v>
      </c>
      <c r="AE41" s="6"/>
      <c r="AF41" s="6"/>
      <c r="AG41" s="6"/>
      <c r="AH41" s="6" t="s">
        <v>1964</v>
      </c>
      <c r="AI41" s="6"/>
      <c r="AJ41" s="6"/>
      <c r="AK41" s="6"/>
      <c r="AL41" s="6" t="s">
        <v>1965</v>
      </c>
      <c r="AM41" s="6"/>
      <c r="AN41" s="6"/>
      <c r="AO41" s="6"/>
      <c r="AP41" s="6" t="s">
        <v>1966</v>
      </c>
      <c r="AQ41" s="6"/>
      <c r="AR41" s="6"/>
      <c r="AS41" s="6"/>
      <c r="AT41" s="6" t="s">
        <v>1750</v>
      </c>
      <c r="AU41" s="6"/>
      <c r="AV41" s="6"/>
      <c r="AW41" s="6"/>
      <c r="AX41" s="6"/>
      <c r="AY41" s="6"/>
      <c r="AZ41" s="6"/>
      <c r="BA41" s="6" t="s">
        <v>1751</v>
      </c>
      <c r="BB41" s="6" t="s">
        <v>1753</v>
      </c>
      <c r="BC41" s="6"/>
    </row>
    <row r="42" spans="1:58" ht="33.75" customHeight="1" x14ac:dyDescent="0.15">
      <c r="S42" s="6"/>
      <c r="T42" s="6"/>
      <c r="V42" s="6" t="s">
        <v>1967</v>
      </c>
      <c r="W42" s="6"/>
      <c r="X42" s="6" t="s">
        <v>1968</v>
      </c>
      <c r="Y42" s="6"/>
      <c r="Z42" s="6" t="s">
        <v>1969</v>
      </c>
      <c r="AA42" s="6"/>
      <c r="AB42" s="6"/>
      <c r="AC42" s="6"/>
      <c r="AD42" s="6"/>
      <c r="AE42" s="6"/>
      <c r="AF42" s="6"/>
      <c r="AG42" s="6"/>
      <c r="AH42" s="6"/>
      <c r="AI42" s="6"/>
      <c r="AJ42" s="6"/>
      <c r="AK42" s="6"/>
      <c r="AL42" s="6"/>
      <c r="AM42" s="6"/>
      <c r="AN42" s="6"/>
      <c r="AO42" s="6"/>
      <c r="AP42" s="6"/>
      <c r="AQ42" s="6"/>
      <c r="AR42" s="6"/>
      <c r="AS42" s="6"/>
      <c r="AT42" s="6" t="s">
        <v>1967</v>
      </c>
      <c r="AU42" s="6"/>
      <c r="AV42" s="6" t="s">
        <v>1968</v>
      </c>
      <c r="AW42" s="6"/>
      <c r="AX42" s="6" t="s">
        <v>1969</v>
      </c>
      <c r="AY42" s="6"/>
      <c r="AZ42" s="6"/>
      <c r="BA42" s="6"/>
      <c r="BB42" s="6"/>
      <c r="BC42" s="6"/>
    </row>
    <row r="43" spans="1:58" ht="14.25" customHeight="1" x14ac:dyDescent="0.15">
      <c r="S43" s="6"/>
      <c r="T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row>
    <row r="44" spans="1:58" ht="14.25" customHeight="1" x14ac:dyDescent="0.15">
      <c r="B44" t="s">
        <v>443</v>
      </c>
      <c r="C44" t="s">
        <v>444</v>
      </c>
      <c r="D44" t="s">
        <v>445</v>
      </c>
      <c r="E44" t="s">
        <v>1758</v>
      </c>
      <c r="F44" t="s">
        <v>1759</v>
      </c>
      <c r="G44" t="s">
        <v>1760</v>
      </c>
      <c r="H44" t="s">
        <v>1761</v>
      </c>
      <c r="I44" t="s">
        <v>1762</v>
      </c>
      <c r="J44" t="s">
        <v>1763</v>
      </c>
      <c r="K44" t="s">
        <v>1764</v>
      </c>
      <c r="L44" t="s">
        <v>1739</v>
      </c>
      <c r="S44" s="6"/>
      <c r="T44" s="6"/>
      <c r="V44" t="s">
        <v>1810</v>
      </c>
      <c r="W44" t="s">
        <v>1811</v>
      </c>
      <c r="X44" t="s">
        <v>1810</v>
      </c>
      <c r="Y44" t="s">
        <v>1811</v>
      </c>
      <c r="Z44" t="s">
        <v>1767</v>
      </c>
      <c r="AA44" s="6" t="s">
        <v>1768</v>
      </c>
      <c r="AB44" s="6"/>
      <c r="AC44" s="6"/>
      <c r="AD44" s="6"/>
      <c r="AE44" s="6"/>
      <c r="AF44" s="6"/>
      <c r="AG44" s="6"/>
      <c r="AH44" s="6"/>
      <c r="AI44" s="6"/>
      <c r="AJ44" s="6"/>
      <c r="AK44" s="6"/>
      <c r="AL44" s="6"/>
      <c r="AM44" s="6"/>
      <c r="AN44" s="6"/>
      <c r="AO44" s="6"/>
      <c r="AP44" s="6"/>
      <c r="AQ44" s="6"/>
      <c r="AR44" s="6"/>
      <c r="AS44" s="6"/>
      <c r="AT44" t="s">
        <v>1810</v>
      </c>
      <c r="AU44" t="s">
        <v>1811</v>
      </c>
      <c r="AV44" t="s">
        <v>1810</v>
      </c>
      <c r="AW44" t="s">
        <v>1811</v>
      </c>
      <c r="AX44" t="s">
        <v>1767</v>
      </c>
      <c r="AY44" s="6" t="s">
        <v>1768</v>
      </c>
      <c r="AZ44" s="6"/>
      <c r="BA44" s="6"/>
      <c r="BB44" s="6"/>
      <c r="BC44" s="6"/>
    </row>
    <row r="45" spans="1:58" ht="11.25" hidden="1" customHeight="1" x14ac:dyDescent="0.15">
      <c r="R45">
        <v>1</v>
      </c>
      <c r="S45" t="s">
        <v>165</v>
      </c>
      <c r="T45" t="s">
        <v>89</v>
      </c>
      <c r="U45" t="str">
        <f ca="1">OFFSET(U45,0,-1)</f>
        <v>2</v>
      </c>
      <c r="V45">
        <f t="shared" ref="V45:AA45" ca="1" si="2">OFFSET(V45,0,-1)+1</f>
        <v>3</v>
      </c>
      <c r="W45">
        <f t="shared" ca="1" si="2"/>
        <v>4</v>
      </c>
      <c r="X45">
        <f t="shared" ca="1" si="2"/>
        <v>5</v>
      </c>
      <c r="Y45">
        <f t="shared" ca="1" si="2"/>
        <v>6</v>
      </c>
      <c r="Z45">
        <f t="shared" ca="1" si="2"/>
        <v>7</v>
      </c>
      <c r="AA45" s="6">
        <f t="shared" ca="1" si="2"/>
        <v>8</v>
      </c>
      <c r="AB45" s="6"/>
      <c r="AC45">
        <f ca="1">OFFSET(AC45,0,-2)+1</f>
        <v>9</v>
      </c>
      <c r="AD45">
        <f ca="1">OFFSET(AD45,0,-1)+1</f>
        <v>10</v>
      </c>
      <c r="AW45">
        <f ca="1">OFFSET(AW45,0,-1)+1</f>
        <v>1</v>
      </c>
      <c r="AX45">
        <f ca="1">OFFSET(AX45,0,-1)+1</f>
        <v>2</v>
      </c>
      <c r="AY45" s="6">
        <f ca="1">OFFSET(AY45,0,-1)+1</f>
        <v>3</v>
      </c>
      <c r="AZ45" s="6"/>
      <c r="BA45">
        <f ca="1">OFFSET(BA45,0,-2)+1</f>
        <v>4</v>
      </c>
      <c r="BB45">
        <f ca="1">OFFSET(BB45,0,-1)</f>
        <v>4</v>
      </c>
      <c r="BC45">
        <f ca="1">OFFSET(BC45,0,-1)+1</f>
        <v>5</v>
      </c>
    </row>
    <row r="46" spans="1:58" ht="21" customHeight="1" x14ac:dyDescent="0.15">
      <c r="A46" t="s">
        <v>554</v>
      </c>
      <c r="E46" s="6">
        <v>1</v>
      </c>
      <c r="S46">
        <f>INDEX(PT_DIFFERENTIATION_NUM_NTAR,MATCH(A46,PT_DIFFERENTIATION_NTAR_ID,0))</f>
        <v>0</v>
      </c>
      <c r="T46" t="s">
        <v>431</v>
      </c>
      <c r="V46" s="6"/>
      <c r="W46" s="6"/>
      <c r="X46" s="6"/>
      <c r="Y46" s="6"/>
      <c r="Z46" s="6"/>
      <c r="AA46" s="6"/>
      <c r="AB46" s="6"/>
      <c r="AC46" s="6"/>
      <c r="AD46" s="6" t="str">
        <f>INDEX(PT_DIFFERENTIATION_NTAR,MATCH(A46,PT_DIFFERENTIATION_NTAR_ID,0))</f>
        <v/>
      </c>
      <c r="AE46" s="6"/>
      <c r="AF46" s="6"/>
      <c r="AG46" s="6"/>
      <c r="AH46" s="6"/>
      <c r="AI46" s="6"/>
      <c r="AJ46" s="6"/>
      <c r="AK46" s="6"/>
      <c r="AL46" s="6"/>
      <c r="AM46" s="6"/>
      <c r="AN46" s="6"/>
      <c r="AO46" s="6"/>
      <c r="AP46" s="6"/>
      <c r="AQ46" s="6"/>
      <c r="AR46" s="6"/>
      <c r="AS46" s="6"/>
      <c r="AT46" s="6"/>
      <c r="AU46" s="6"/>
      <c r="AV46" s="6"/>
      <c r="AW46" s="6"/>
      <c r="AX46" s="6"/>
      <c r="AY46" s="6"/>
      <c r="AZ46" s="6"/>
      <c r="BA46" s="6"/>
      <c r="BB46" s="6"/>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t="str">
        <f t="shared" ref="BF46:BF52" si="3">IF(T46="","",T46)</f>
        <v>Наименование тарифа</v>
      </c>
    </row>
    <row r="47" spans="1:58" ht="21" customHeight="1" x14ac:dyDescent="0.15">
      <c r="A47" t="s">
        <v>554</v>
      </c>
      <c r="B47" t="s">
        <v>555</v>
      </c>
      <c r="E47" s="6"/>
      <c r="F47" s="6">
        <v>1</v>
      </c>
      <c r="S47" t="str">
        <f>INDEX(PT_DIFFERENTIATION_NUM_TER,MATCH(B47,PT_DIFFERENTIATION_TER_ID,0))</f>
        <v>.</v>
      </c>
      <c r="T47" t="s">
        <v>1721</v>
      </c>
      <c r="V47" s="6"/>
      <c r="W47" s="6"/>
      <c r="X47" s="6"/>
      <c r="Y47" s="6"/>
      <c r="Z47" s="6"/>
      <c r="AA47" s="6"/>
      <c r="AB47" s="6"/>
      <c r="AC47" s="6"/>
      <c r="AD47" s="6" t="str">
        <f>INDEX(PT_DIFFERENTIATION_TER,MATCH(B47,PT_DIFFERENTIATION_TER_ID,0))</f>
        <v/>
      </c>
      <c r="AE47" s="6"/>
      <c r="AF47" s="6"/>
      <c r="AG47" s="6"/>
      <c r="AH47" s="6"/>
      <c r="AI47" s="6"/>
      <c r="AJ47" s="6"/>
      <c r="AK47" s="6"/>
      <c r="AL47" s="6"/>
      <c r="AM47" s="6"/>
      <c r="AN47" s="6"/>
      <c r="AO47" s="6"/>
      <c r="AP47" s="6"/>
      <c r="AQ47" s="6"/>
      <c r="AR47" s="6"/>
      <c r="AS47" s="6"/>
      <c r="AT47" s="6"/>
      <c r="AU47" s="6"/>
      <c r="AV47" s="6"/>
      <c r="AW47" s="6"/>
      <c r="AX47" s="6"/>
      <c r="AY47" s="6"/>
      <c r="AZ47" s="6"/>
      <c r="BA47" s="6"/>
      <c r="BB47" s="6"/>
      <c r="BC47" t="s">
        <v>1722</v>
      </c>
      <c r="BF47" t="str">
        <f t="shared" si="3"/>
        <v>Территория действия тарифа</v>
      </c>
    </row>
    <row r="48" spans="1:58" ht="33.75" customHeight="1" x14ac:dyDescent="0.15">
      <c r="A48" t="s">
        <v>554</v>
      </c>
      <c r="B48" t="s">
        <v>555</v>
      </c>
      <c r="C48" t="s">
        <v>556</v>
      </c>
      <c r="E48" s="6"/>
      <c r="F48" s="6"/>
      <c r="G48" s="6">
        <v>1</v>
      </c>
      <c r="S48" t="str">
        <f>INDEX(PT_DIFFERENTIATION_NUM_CS,MATCH(C48,PT_DIFFERENTIATION_CS_ID,0))</f>
        <v>..</v>
      </c>
      <c r="T48" t="s">
        <v>3525</v>
      </c>
      <c r="V48" s="6"/>
      <c r="W48" s="6"/>
      <c r="X48" s="6"/>
      <c r="Y48" s="6"/>
      <c r="Z48" s="6"/>
      <c r="AA48" s="6"/>
      <c r="AB48" s="6"/>
      <c r="AC48" s="6"/>
      <c r="AD48" s="6" t="str">
        <f>INDEX(PT_DIFFERENTIATION_CS,MATCH(C48,PT_DIFFERENTIATION_CS_ID,0))</f>
        <v/>
      </c>
      <c r="AE48" s="6"/>
      <c r="AF48" s="6"/>
      <c r="AG48" s="6"/>
      <c r="AH48" s="6"/>
      <c r="AI48" s="6"/>
      <c r="AJ48" s="6"/>
      <c r="AK48" s="6"/>
      <c r="AL48" s="6"/>
      <c r="AM48" s="6"/>
      <c r="AN48" s="6"/>
      <c r="AO48" s="6"/>
      <c r="AP48" s="6"/>
      <c r="AQ48" s="6"/>
      <c r="AR48" s="6"/>
      <c r="AS48" s="6"/>
      <c r="AT48" s="6"/>
      <c r="AU48" s="6"/>
      <c r="AV48" s="6"/>
      <c r="AW48" s="6"/>
      <c r="AX48" s="6"/>
      <c r="AY48" s="6"/>
      <c r="AZ48" s="6"/>
      <c r="BA48" s="6"/>
      <c r="BB48" s="6"/>
      <c r="BC48" t="s">
        <v>3526</v>
      </c>
      <c r="BF48" t="str">
        <f t="shared" si="3"/>
        <v>Наименование централизованной системы горячего водоснабжения</v>
      </c>
    </row>
    <row r="49" spans="1:58" ht="0" hidden="1" customHeight="1" x14ac:dyDescent="0.15">
      <c r="A49" t="s">
        <v>554</v>
      </c>
      <c r="B49" t="s">
        <v>555</v>
      </c>
      <c r="C49" t="s">
        <v>556</v>
      </c>
      <c r="D49" t="s">
        <v>3535</v>
      </c>
      <c r="E49" s="6"/>
      <c r="F49" s="6"/>
      <c r="G49" s="6"/>
      <c r="H49" s="6">
        <v>1</v>
      </c>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t="s">
        <v>1726</v>
      </c>
      <c r="BF49" t="str">
        <f t="shared" si="3"/>
        <v/>
      </c>
    </row>
    <row r="50" spans="1:58" ht="0" hidden="1" customHeight="1" x14ac:dyDescent="0.15">
      <c r="A50" t="s">
        <v>554</v>
      </c>
      <c r="B50" t="s">
        <v>555</v>
      </c>
      <c r="C50" t="s">
        <v>556</v>
      </c>
      <c r="D50" t="s">
        <v>3535</v>
      </c>
      <c r="E50" s="6"/>
      <c r="F50" s="6"/>
      <c r="G50" s="6"/>
      <c r="H50" s="6"/>
      <c r="I50" s="6" t="str">
        <f>S49&amp;".1"</f>
        <v>.1</v>
      </c>
      <c r="L50" t="s">
        <v>1727</v>
      </c>
      <c r="P50" s="6">
        <v>1</v>
      </c>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F50" t="str">
        <f t="shared" si="3"/>
        <v/>
      </c>
    </row>
    <row r="51" spans="1:58" ht="0" hidden="1" customHeight="1" x14ac:dyDescent="0.15">
      <c r="A51" t="s">
        <v>554</v>
      </c>
      <c r="B51" t="s">
        <v>555</v>
      </c>
      <c r="C51" t="s">
        <v>556</v>
      </c>
      <c r="D51" t="s">
        <v>3535</v>
      </c>
      <c r="E51" s="6"/>
      <c r="F51" s="6"/>
      <c r="G51" s="6"/>
      <c r="H51" s="6"/>
      <c r="I51" s="6"/>
      <c r="J51" s="6" t="str">
        <f>S49&amp;".1"</f>
        <v>.1</v>
      </c>
      <c r="P51" s="6"/>
      <c r="Q51" s="6">
        <v>1</v>
      </c>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F51" t="str">
        <f t="shared" si="3"/>
        <v/>
      </c>
    </row>
    <row r="52" spans="1:58" ht="11.25" customHeight="1" x14ac:dyDescent="0.15">
      <c r="A52" t="s">
        <v>554</v>
      </c>
      <c r="B52" t="s">
        <v>555</v>
      </c>
      <c r="C52" t="s">
        <v>556</v>
      </c>
      <c r="D52" t="s">
        <v>3535</v>
      </c>
      <c r="E52" s="6"/>
      <c r="F52" s="6"/>
      <c r="G52" s="6"/>
      <c r="H52" s="6"/>
      <c r="I52" s="6"/>
      <c r="J52" s="6"/>
      <c r="K52" s="6" t="str">
        <f>S48&amp;".1"</f>
        <v>...1</v>
      </c>
      <c r="P52" s="6"/>
      <c r="Q52" s="6"/>
      <c r="R52">
        <v>1</v>
      </c>
      <c r="S52" s="6" t="str">
        <f>$K52</f>
        <v>...1</v>
      </c>
      <c r="T52" s="6"/>
      <c r="AA52" t="s">
        <v>50</v>
      </c>
      <c r="AC52" t="s">
        <v>50</v>
      </c>
      <c r="AD52" s="6" t="s">
        <v>50</v>
      </c>
      <c r="AE52" s="6"/>
      <c r="AF52" s="6">
        <v>1</v>
      </c>
      <c r="AG52" s="6"/>
      <c r="AH52" s="6" t="s">
        <v>50</v>
      </c>
      <c r="AI52" s="6"/>
      <c r="AJ52" s="6">
        <v>1</v>
      </c>
      <c r="AK52" s="6" t="s">
        <v>4</v>
      </c>
      <c r="AL52" s="6" t="s">
        <v>50</v>
      </c>
      <c r="AM52" s="6"/>
      <c r="AN52" s="6">
        <v>1</v>
      </c>
      <c r="AO52" s="6"/>
      <c r="AP52" s="6" t="s">
        <v>50</v>
      </c>
      <c r="AR52">
        <v>1</v>
      </c>
      <c r="AS52" t="s">
        <v>4</v>
      </c>
      <c r="AY52" t="s">
        <v>50</v>
      </c>
      <c r="BA52" t="s">
        <v>50</v>
      </c>
      <c r="BC52" s="6" t="s">
        <v>1956</v>
      </c>
      <c r="BF52" t="str">
        <f t="shared" si="3"/>
        <v/>
      </c>
    </row>
    <row r="53" spans="1:58" ht="11.25" customHeight="1" x14ac:dyDescent="0.15">
      <c r="E53" s="6"/>
      <c r="F53" s="6"/>
      <c r="G53" s="6"/>
      <c r="H53" s="6"/>
      <c r="I53" s="6"/>
      <c r="J53" s="6"/>
      <c r="K53" s="6"/>
      <c r="P53" s="6"/>
      <c r="Q53" s="6"/>
      <c r="S53" s="6"/>
      <c r="T53" s="6"/>
      <c r="AD53" s="6"/>
      <c r="AE53" s="6"/>
      <c r="AF53" s="6"/>
      <c r="AG53" s="6"/>
      <c r="AH53" s="6"/>
      <c r="AI53" s="6"/>
      <c r="AJ53" s="6"/>
      <c r="AK53" s="6"/>
      <c r="AL53" s="6"/>
      <c r="AM53" s="6"/>
      <c r="AN53" s="6"/>
      <c r="AO53" s="6"/>
      <c r="AP53" s="6"/>
      <c r="AS53" t="s">
        <v>1957</v>
      </c>
      <c r="BC53" s="6"/>
    </row>
    <row r="54" spans="1:58" ht="11.25" customHeight="1" x14ac:dyDescent="0.15">
      <c r="A54" t="s">
        <v>554</v>
      </c>
      <c r="E54" s="6"/>
      <c r="F54" s="6"/>
      <c r="G54" s="6"/>
      <c r="H54" s="6"/>
      <c r="I54" s="6"/>
      <c r="J54" s="6"/>
      <c r="K54" s="6"/>
      <c r="P54" s="6"/>
      <c r="Q54" s="6"/>
      <c r="S54" s="6"/>
      <c r="T54" s="6"/>
      <c r="AD54" s="6"/>
      <c r="AE54" s="6"/>
      <c r="AF54" s="6"/>
      <c r="AG54" s="6"/>
      <c r="AH54" s="6"/>
      <c r="AI54" s="6"/>
      <c r="AJ54" s="6"/>
      <c r="AK54" s="6"/>
      <c r="AL54" s="6"/>
      <c r="AO54" t="s">
        <v>1958</v>
      </c>
      <c r="BC54" s="6"/>
    </row>
    <row r="55" spans="1:58" ht="11.25" customHeight="1" x14ac:dyDescent="0.15">
      <c r="A55" t="s">
        <v>554</v>
      </c>
      <c r="E55" s="6"/>
      <c r="F55" s="6"/>
      <c r="G55" s="6"/>
      <c r="H55" s="6"/>
      <c r="I55" s="6"/>
      <c r="J55" s="6"/>
      <c r="K55" s="6"/>
      <c r="P55" s="6"/>
      <c r="Q55" s="6"/>
      <c r="S55" s="6"/>
      <c r="T55" s="6"/>
      <c r="AD55" s="6"/>
      <c r="AE55" s="6"/>
      <c r="AF55" s="6"/>
      <c r="AG55" s="6"/>
      <c r="AH55" s="6"/>
      <c r="AK55" t="s">
        <v>1959</v>
      </c>
      <c r="BC55" s="6"/>
    </row>
    <row r="56" spans="1:58" ht="11.25" customHeight="1" x14ac:dyDescent="0.15">
      <c r="A56" t="s">
        <v>554</v>
      </c>
      <c r="B56" t="s">
        <v>555</v>
      </c>
      <c r="C56" t="s">
        <v>556</v>
      </c>
      <c r="D56" t="s">
        <v>3535</v>
      </c>
      <c r="E56" s="6"/>
      <c r="F56" s="6"/>
      <c r="G56" s="6"/>
      <c r="H56" s="6"/>
      <c r="I56" s="6"/>
      <c r="J56" s="6"/>
      <c r="K56" s="6"/>
      <c r="P56" s="6"/>
      <c r="Q56" s="6"/>
      <c r="S56" s="6"/>
      <c r="T56" s="6"/>
      <c r="W56" t="str">
        <f>Z52&amp;"-"&amp;AB52</f>
        <v>-</v>
      </c>
      <c r="Y56" t="str">
        <f>AB52&amp;"-"&amp;AD52</f>
        <v>-да</v>
      </c>
      <c r="AD56" s="6"/>
      <c r="AG56" t="s">
        <v>1960</v>
      </c>
      <c r="AU56" t="str">
        <f>AX52&amp;"-"&amp;AZ52</f>
        <v>-</v>
      </c>
      <c r="AW56" t="str">
        <f>AZ52&amp;"-"&amp;BB52</f>
        <v>-</v>
      </c>
      <c r="BB56" t="str">
        <f>BE52&amp;"-"&amp;BG52</f>
        <v>-</v>
      </c>
      <c r="BC56" s="6"/>
      <c r="BF56" t="str">
        <f t="shared" ref="BF56:BF63" si="4">IF(T56="","",T56)</f>
        <v/>
      </c>
    </row>
    <row r="57" spans="1:58" ht="11.25" customHeight="1" x14ac:dyDescent="0.15">
      <c r="A57" t="s">
        <v>554</v>
      </c>
      <c r="B57" t="s">
        <v>555</v>
      </c>
      <c r="C57" t="s">
        <v>556</v>
      </c>
      <c r="D57" t="s">
        <v>3535</v>
      </c>
      <c r="E57" s="6"/>
      <c r="F57" s="6"/>
      <c r="G57" s="6"/>
      <c r="H57" s="6"/>
      <c r="I57" s="6"/>
      <c r="J57" s="6"/>
      <c r="P57" s="6"/>
      <c r="Q57" s="6"/>
      <c r="T57" t="s">
        <v>1801</v>
      </c>
      <c r="BC57" s="6"/>
      <c r="BF57" t="str">
        <f t="shared" si="4"/>
        <v>Добавить строку</v>
      </c>
    </row>
    <row r="58" spans="1:58" ht="0" hidden="1" customHeight="1" x14ac:dyDescent="0.15">
      <c r="A58" t="s">
        <v>554</v>
      </c>
      <c r="B58" t="s">
        <v>555</v>
      </c>
      <c r="C58" t="s">
        <v>556</v>
      </c>
      <c r="D58" t="s">
        <v>3535</v>
      </c>
      <c r="E58" s="6"/>
      <c r="F58" s="6"/>
      <c r="G58" s="6"/>
      <c r="H58" s="6"/>
      <c r="I58" s="6"/>
      <c r="P58" s="6"/>
      <c r="BF58" t="str">
        <f t="shared" si="4"/>
        <v/>
      </c>
    </row>
    <row r="59" spans="1:58" ht="0" hidden="1" customHeight="1" x14ac:dyDescent="0.15">
      <c r="A59" t="s">
        <v>554</v>
      </c>
      <c r="B59" t="s">
        <v>555</v>
      </c>
      <c r="C59" t="s">
        <v>556</v>
      </c>
      <c r="D59" t="s">
        <v>3535</v>
      </c>
      <c r="E59" s="6"/>
      <c r="F59" s="6"/>
      <c r="G59" s="6"/>
      <c r="H59" s="6"/>
      <c r="BF59" t="str">
        <f t="shared" si="4"/>
        <v/>
      </c>
    </row>
    <row r="60" spans="1:58" ht="0" hidden="1" customHeight="1" x14ac:dyDescent="0.15">
      <c r="A60" t="s">
        <v>554</v>
      </c>
      <c r="B60" t="s">
        <v>555</v>
      </c>
      <c r="C60" t="s">
        <v>556</v>
      </c>
      <c r="E60" s="6"/>
      <c r="F60" s="6"/>
      <c r="G60" s="6"/>
      <c r="BF60" t="str">
        <f t="shared" si="4"/>
        <v/>
      </c>
    </row>
    <row r="61" spans="1:58" ht="0" hidden="1" customHeight="1" x14ac:dyDescent="0.15">
      <c r="A61" t="s">
        <v>554</v>
      </c>
      <c r="B61" t="s">
        <v>555</v>
      </c>
      <c r="E61" s="6"/>
      <c r="F61" s="6"/>
      <c r="T61" t="s">
        <v>1697</v>
      </c>
      <c r="BF61" t="str">
        <f t="shared" si="4"/>
        <v>Добавить централизованную систему для дифференциации</v>
      </c>
    </row>
    <row r="62" spans="1:58" ht="0" hidden="1" customHeight="1" x14ac:dyDescent="0.15">
      <c r="A62" t="s">
        <v>554</v>
      </c>
      <c r="E62" s="6"/>
      <c r="T62" t="s">
        <v>1698</v>
      </c>
      <c r="BF62" t="str">
        <f t="shared" si="4"/>
        <v>Добавить территорию для дифференциации</v>
      </c>
    </row>
    <row r="63" spans="1:58" ht="0" hidden="1" customHeight="1" x14ac:dyDescent="0.15">
      <c r="T63" t="s">
        <v>1699</v>
      </c>
      <c r="BF63" t="str">
        <f t="shared" si="4"/>
        <v>Добавить наименование тарифа</v>
      </c>
    </row>
    <row r="64" spans="1:58" ht="11.25" hidden="1" customHeight="1" x14ac:dyDescent="0.15"/>
    <row r="65" spans="19:55" ht="18.75" hidden="1" customHeight="1" x14ac:dyDescent="0.15">
      <c r="S65" t="s">
        <v>1769</v>
      </c>
      <c r="T65" s="6" t="s">
        <v>1971</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row>
    <row r="66" spans="19:55" ht="14.25" hidden="1" customHeight="1" x14ac:dyDescent="0.15"/>
    <row r="67" spans="19:55" ht="18.75" hidden="1" customHeight="1" x14ac:dyDescent="0.15">
      <c r="S67" t="s">
        <v>1769</v>
      </c>
      <c r="T67" s="6" t="s">
        <v>1935</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3536</v>
      </c>
      <c r="V4" s="6"/>
      <c r="W4" s="6"/>
      <c r="X4" s="6"/>
      <c r="Y4" s="6"/>
      <c r="Z4" s="6"/>
      <c r="AA4" s="6"/>
      <c r="AB4" s="6"/>
      <c r="AC4" s="6" t="e">
        <f>INDEX(PT_DIFFERENTIATION_CS,MATCH(C4,PT_DIFFERENTIATION_CS_ID,0))</f>
        <v>#N/A</v>
      </c>
      <c r="AD4" s="6"/>
      <c r="AE4" s="6"/>
      <c r="AF4" s="6"/>
      <c r="AG4" s="6"/>
      <c r="AH4" s="6"/>
      <c r="AI4" s="6"/>
      <c r="AJ4" s="6"/>
      <c r="AK4" t="s">
        <v>3537</v>
      </c>
      <c r="AN4" t="str">
        <f t="shared" si="0"/>
        <v>Наименование централизованной системы водоотведения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14.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1944</v>
      </c>
      <c r="W38" s="6" t="s">
        <v>1756</v>
      </c>
      <c r="X38" s="6"/>
      <c r="Y38" s="6" t="s">
        <v>1757</v>
      </c>
      <c r="Z38" s="6"/>
      <c r="AA38" s="6"/>
      <c r="AB38" s="6"/>
      <c r="AC38" t="s">
        <v>1944</v>
      </c>
      <c r="AD38" s="6" t="s">
        <v>1756</v>
      </c>
      <c r="AE38" s="6"/>
      <c r="AF38" s="6" t="s">
        <v>1757</v>
      </c>
      <c r="AG38" s="6"/>
      <c r="AH38" s="6"/>
      <c r="AI38" s="6"/>
      <c r="AJ38" s="6"/>
      <c r="AK38" s="6"/>
    </row>
    <row r="39" spans="1:40" ht="86.25" customHeight="1" x14ac:dyDescent="0.15">
      <c r="B39" t="s">
        <v>443</v>
      </c>
      <c r="C39" t="s">
        <v>444</v>
      </c>
      <c r="D39" t="s">
        <v>445</v>
      </c>
      <c r="E39" t="s">
        <v>1758</v>
      </c>
      <c r="F39" t="s">
        <v>1759</v>
      </c>
      <c r="G39" t="s">
        <v>1760</v>
      </c>
      <c r="I39" t="s">
        <v>1945</v>
      </c>
      <c r="J39" t="s">
        <v>1763</v>
      </c>
      <c r="K39" t="s">
        <v>1946</v>
      </c>
      <c r="L39" t="s">
        <v>1739</v>
      </c>
      <c r="S39" s="6"/>
      <c r="T39" s="6"/>
      <c r="V39" t="s">
        <v>3538</v>
      </c>
      <c r="W39" t="s">
        <v>3539</v>
      </c>
      <c r="X39" t="s">
        <v>1949</v>
      </c>
      <c r="Y39" t="s">
        <v>1767</v>
      </c>
      <c r="Z39" s="6" t="s">
        <v>1768</v>
      </c>
      <c r="AA39" s="6"/>
      <c r="AB39" s="6"/>
      <c r="AC39" t="s">
        <v>3538</v>
      </c>
      <c r="AD39" t="s">
        <v>3539</v>
      </c>
      <c r="AE39" t="s">
        <v>1949</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559</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559</v>
      </c>
      <c r="B42" t="s">
        <v>560</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559</v>
      </c>
      <c r="B43" t="s">
        <v>560</v>
      </c>
      <c r="C43" t="s">
        <v>561</v>
      </c>
      <c r="E43" s="6"/>
      <c r="F43" s="6"/>
      <c r="G43" s="6">
        <v>1</v>
      </c>
      <c r="S43" t="str">
        <f>INDEX(PT_DIFFERENTIATION_NUM_CS,MATCH(C43,PT_DIFFERENTIATION_CS_ID,0))</f>
        <v>..</v>
      </c>
      <c r="T43" t="s">
        <v>3536</v>
      </c>
      <c r="V43" s="6"/>
      <c r="W43" s="6"/>
      <c r="X43" s="6"/>
      <c r="Y43" s="6"/>
      <c r="Z43" s="6"/>
      <c r="AA43" s="6"/>
      <c r="AB43" s="6"/>
      <c r="AC43" s="6" t="str">
        <f>INDEX(PT_DIFFERENTIATION_CS,MATCH(C43,PT_DIFFERENTIATION_CS_ID,0))</f>
        <v/>
      </c>
      <c r="AD43" s="6"/>
      <c r="AE43" s="6"/>
      <c r="AF43" s="6"/>
      <c r="AG43" s="6"/>
      <c r="AH43" s="6"/>
      <c r="AI43" s="6"/>
      <c r="AJ43" s="6"/>
      <c r="AK43" t="s">
        <v>3537</v>
      </c>
      <c r="AN43" t="str">
        <f t="shared" si="1"/>
        <v>Наименование централизованной системы водоотведения</v>
      </c>
    </row>
    <row r="44" spans="1:40" ht="23.25" customHeight="1" x14ac:dyDescent="0.15">
      <c r="A44" t="s">
        <v>559</v>
      </c>
      <c r="B44" t="s">
        <v>560</v>
      </c>
      <c r="C44" t="s">
        <v>561</v>
      </c>
      <c r="D44" t="s">
        <v>3540</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559</v>
      </c>
      <c r="B45" t="s">
        <v>560</v>
      </c>
      <c r="C45" t="s">
        <v>561</v>
      </c>
      <c r="D45" t="s">
        <v>3540</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559</v>
      </c>
      <c r="B46" t="s">
        <v>560</v>
      </c>
      <c r="C46" t="s">
        <v>561</v>
      </c>
      <c r="D46" t="s">
        <v>3540</v>
      </c>
      <c r="E46" s="6"/>
      <c r="F46" s="6"/>
      <c r="G46" s="6"/>
      <c r="H46" s="6"/>
      <c r="I46" s="6"/>
      <c r="J46" s="6"/>
      <c r="K46" s="6" t="str">
        <f>J45&amp;".1"</f>
        <v>...1.1.1</v>
      </c>
      <c r="P46" s="6"/>
      <c r="Q46" s="6"/>
      <c r="R46">
        <v>1</v>
      </c>
      <c r="S46" t="str">
        <f>$K46</f>
        <v>...1.1.1</v>
      </c>
      <c r="Y46" s="6"/>
      <c r="Z46" s="6" t="s">
        <v>50</v>
      </c>
      <c r="AA46" s="6"/>
      <c r="AB46" s="6" t="s">
        <v>50</v>
      </c>
      <c r="AF46" s="6"/>
      <c r="AG46" s="6" t="s">
        <v>50</v>
      </c>
      <c r="AH46" s="6"/>
      <c r="AI46" s="6" t="s">
        <v>43</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559</v>
      </c>
      <c r="B47" t="s">
        <v>560</v>
      </c>
      <c r="C47" t="s">
        <v>561</v>
      </c>
      <c r="D47" t="s">
        <v>3540</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559</v>
      </c>
      <c r="B48" t="s">
        <v>560</v>
      </c>
      <c r="C48" t="s">
        <v>561</v>
      </c>
      <c r="D48" t="s">
        <v>3540</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559</v>
      </c>
      <c r="B49" t="s">
        <v>560</v>
      </c>
      <c r="C49" t="s">
        <v>561</v>
      </c>
      <c r="D49" t="s">
        <v>3540</v>
      </c>
      <c r="E49" s="6"/>
      <c r="F49" s="6"/>
      <c r="G49" s="6"/>
      <c r="H49" s="6"/>
      <c r="I49" s="6"/>
      <c r="P49" s="6"/>
      <c r="T49" t="s">
        <v>1736</v>
      </c>
      <c r="AN49" t="str">
        <f t="shared" si="1"/>
        <v>Добавить группу потребителей</v>
      </c>
    </row>
    <row r="50" spans="1:40" ht="21" customHeight="1" x14ac:dyDescent="0.15">
      <c r="A50" t="s">
        <v>559</v>
      </c>
      <c r="B50" t="s">
        <v>560</v>
      </c>
      <c r="C50" t="s">
        <v>561</v>
      </c>
      <c r="D50" t="s">
        <v>3540</v>
      </c>
      <c r="E50" s="6"/>
      <c r="F50" s="6"/>
      <c r="G50" s="6"/>
      <c r="H50" s="6"/>
      <c r="T50" t="s">
        <v>1943</v>
      </c>
      <c r="AN50" t="str">
        <f t="shared" si="1"/>
        <v>Добавить наименование признака дифференциации</v>
      </c>
    </row>
    <row r="51" spans="1:40" ht="0.75" customHeight="1" x14ac:dyDescent="0.15">
      <c r="A51" t="s">
        <v>559</v>
      </c>
      <c r="B51" t="s">
        <v>560</v>
      </c>
      <c r="E51" s="6"/>
      <c r="F51" s="6"/>
      <c r="T51" t="s">
        <v>1697</v>
      </c>
      <c r="AN51" t="str">
        <f t="shared" si="1"/>
        <v>Добавить централизованную систему для дифференциации</v>
      </c>
    </row>
    <row r="52" spans="1:40" ht="0.75" customHeight="1" x14ac:dyDescent="0.15">
      <c r="A52" t="s">
        <v>559</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customHeight="1" x14ac:dyDescent="0.15"/>
    <row r="55" spans="1:40" ht="14.25" customHeight="1" x14ac:dyDescent="0.15">
      <c r="S55" t="s">
        <v>1769</v>
      </c>
      <c r="T55" s="6" t="s">
        <v>3541</v>
      </c>
      <c r="U55" s="6"/>
      <c r="V55" s="6"/>
      <c r="W55" s="6"/>
      <c r="X55" s="6"/>
      <c r="Y55" s="6"/>
      <c r="Z55" s="6"/>
      <c r="AA55" s="6"/>
      <c r="AB55" s="6"/>
      <c r="AC55" s="6"/>
      <c r="AD55" s="6"/>
      <c r="AE55" s="6"/>
      <c r="AF55" s="6"/>
      <c r="AG55" s="6"/>
      <c r="AH55" s="6"/>
      <c r="AI55" s="6"/>
      <c r="AJ55" s="6"/>
      <c r="AK55" s="6"/>
    </row>
    <row r="57" spans="1:40" ht="14.25" customHeight="1" x14ac:dyDescent="0.15">
      <c r="S57" t="s">
        <v>1769</v>
      </c>
      <c r="T57" s="6" t="s">
        <v>3542</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N57"/>
  <sheetViews>
    <sheetView showGridLines="0" topLeftCell="P23" workbookViewId="0"/>
  </sheetViews>
  <sheetFormatPr defaultColWidth="10.5703125" defaultRowHeight="14.25" customHeight="1" x14ac:dyDescent="0.15"/>
  <cols>
    <col min="1" max="1" width="10.5703125" hidden="1"/>
    <col min="2" max="2" width="11" hidden="1" customWidth="1"/>
    <col min="3" max="3" width="10.5703125" hidden="1"/>
    <col min="4" max="4" width="11.85546875" hidden="1" customWidth="1"/>
    <col min="5" max="5" width="10" hidden="1" customWidth="1"/>
    <col min="6" max="6" width="8.7109375" hidden="1" customWidth="1"/>
    <col min="7" max="7" width="7.5703125" hidden="1" customWidth="1"/>
    <col min="8" max="8" width="11.42578125" hidden="1" customWidth="1"/>
    <col min="9" max="9" width="14.140625" hidden="1" customWidth="1"/>
    <col min="10" max="10" width="9.85546875" hidden="1" customWidth="1"/>
    <col min="11" max="11" width="14.7109375" hidden="1" customWidth="1"/>
    <col min="12" max="12" width="19.140625" hidden="1" customWidth="1"/>
    <col min="13" max="14" width="12.28515625" hidden="1" customWidth="1"/>
    <col min="15" max="15" width="23.42578125" hidden="1" customWidth="1"/>
    <col min="16" max="18" width="3.7109375" customWidth="1"/>
    <col min="19" max="19" width="12.7109375" customWidth="1"/>
    <col min="20" max="20" width="35.7109375" customWidth="1"/>
    <col min="21" max="21" width="0.140625" customWidth="1"/>
    <col min="22" max="24" width="24.7109375" hidden="1" customWidth="1"/>
    <col min="25" max="25" width="11.7109375" hidden="1" customWidth="1"/>
    <col min="26" max="26" width="3.7109375" hidden="1" customWidth="1"/>
    <col min="27" max="27" width="11.7109375" hidden="1" customWidth="1"/>
    <col min="28" max="28" width="8.5703125" hidden="1" customWidth="1"/>
    <col min="29" max="31" width="24.7109375" customWidth="1"/>
    <col min="32" max="32" width="11.7109375" customWidth="1"/>
    <col min="33" max="33" width="3.7109375" customWidth="1"/>
    <col min="34" max="34" width="11.7109375" customWidth="1"/>
    <col min="35" max="35" width="8.5703125" hidden="1" customWidth="1"/>
    <col min="36" max="36" width="4.7109375" customWidth="1"/>
    <col min="37" max="37" width="115.7109375" customWidth="1"/>
    <col min="40" max="40" width="11.140625" customWidth="1"/>
  </cols>
  <sheetData>
    <row r="1" spans="5:40" ht="14.25" hidden="1" customHeight="1" x14ac:dyDescent="0.15"/>
    <row r="2" spans="5:40" ht="23.25" hidden="1" customHeight="1" x14ac:dyDescent="0.15">
      <c r="E2" s="6">
        <v>1</v>
      </c>
      <c r="S2" t="e">
        <f>INDEX(PT_DIFFERENTIATION_NUM_NTAR,MATCH(A2,PT_DIFFERENTIATION_NTAR_ID,0))</f>
        <v>#N/A</v>
      </c>
      <c r="T2" t="s">
        <v>431</v>
      </c>
      <c r="V2" s="6"/>
      <c r="W2" s="6"/>
      <c r="X2" s="6"/>
      <c r="Y2" s="6"/>
      <c r="Z2" s="6"/>
      <c r="AA2" s="6"/>
      <c r="AB2" s="6"/>
      <c r="AC2" s="6" t="e">
        <f>INDEX(PT_DIFFERENTIATION_NTAR,MATCH(A2,PT_DIFFERENTIATION_NTAR_ID,0))</f>
        <v>#N/A</v>
      </c>
      <c r="AD2" s="6"/>
      <c r="AE2" s="6"/>
      <c r="AF2" s="6"/>
      <c r="AG2" s="6"/>
      <c r="AH2" s="6"/>
      <c r="AI2" s="6"/>
      <c r="AJ2" s="6"/>
      <c r="AK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2" t="str">
        <f t="shared" ref="AN2:AN13" si="0">IF(T2="","",T2)</f>
        <v>Наименование тарифа</v>
      </c>
    </row>
    <row r="3" spans="5:40" ht="23.25" hidden="1" customHeight="1" x14ac:dyDescent="0.15">
      <c r="E3" s="6"/>
      <c r="F3" s="6">
        <v>1</v>
      </c>
      <c r="S3" t="e">
        <f>INDEX(PT_DIFFERENTIATION_NUM_TER,MATCH(B3,PT_DIFFERENTIATION_TER_ID,0))</f>
        <v>#N/A</v>
      </c>
      <c r="T3" t="s">
        <v>1721</v>
      </c>
      <c r="V3" s="6"/>
      <c r="W3" s="6"/>
      <c r="X3" s="6"/>
      <c r="Y3" s="6"/>
      <c r="Z3" s="6"/>
      <c r="AA3" s="6"/>
      <c r="AB3" s="6"/>
      <c r="AC3" s="6" t="e">
        <f>INDEX(PT_DIFFERENTIATION_TER,MATCH(B3,PT_DIFFERENTIATION_TER_ID,0))</f>
        <v>#N/A</v>
      </c>
      <c r="AD3" s="6"/>
      <c r="AE3" s="6"/>
      <c r="AF3" s="6"/>
      <c r="AG3" s="6"/>
      <c r="AH3" s="6"/>
      <c r="AI3" s="6"/>
      <c r="AJ3" s="6"/>
      <c r="AK3" t="s">
        <v>1722</v>
      </c>
      <c r="AN3" t="str">
        <f t="shared" si="0"/>
        <v>Территория действия тарифа</v>
      </c>
    </row>
    <row r="4" spans="5:40" ht="23.25" hidden="1" customHeight="1" x14ac:dyDescent="0.15">
      <c r="E4" s="6"/>
      <c r="F4" s="6"/>
      <c r="G4" s="6">
        <v>1</v>
      </c>
      <c r="S4" t="e">
        <f>INDEX(PT_DIFFERENTIATION_NUM_CS,MATCH(C4,PT_DIFFERENTIATION_CS_ID,0))</f>
        <v>#N/A</v>
      </c>
      <c r="T4" t="s">
        <v>3536</v>
      </c>
      <c r="V4" s="6"/>
      <c r="W4" s="6"/>
      <c r="X4" s="6"/>
      <c r="Y4" s="6"/>
      <c r="Z4" s="6"/>
      <c r="AA4" s="6"/>
      <c r="AB4" s="6"/>
      <c r="AC4" s="6" t="e">
        <f>INDEX(PT_DIFFERENTIATION_CS,MATCH(C4,PT_DIFFERENTIATION_CS_ID,0))</f>
        <v>#N/A</v>
      </c>
      <c r="AD4" s="6"/>
      <c r="AE4" s="6"/>
      <c r="AF4" s="6"/>
      <c r="AG4" s="6"/>
      <c r="AH4" s="6"/>
      <c r="AI4" s="6"/>
      <c r="AJ4" s="6"/>
      <c r="AK4" t="s">
        <v>3537</v>
      </c>
      <c r="AN4" t="str">
        <f t="shared" si="0"/>
        <v>Наименование централизованной системы водоотведения</v>
      </c>
    </row>
    <row r="5" spans="5:40" ht="23.25" hidden="1" customHeight="1" x14ac:dyDescent="0.15">
      <c r="E5" s="6"/>
      <c r="F5" s="6"/>
      <c r="G5" s="6"/>
      <c r="H5" s="6"/>
      <c r="I5" s="6" t="e">
        <f>S4&amp;".1"</f>
        <v>#N/A</v>
      </c>
      <c r="P5" s="6">
        <v>1</v>
      </c>
      <c r="S5" t="e">
        <f>$I5</f>
        <v>#N/A</v>
      </c>
      <c r="T5" t="s">
        <v>1938</v>
      </c>
      <c r="V5" s="6"/>
      <c r="W5" s="6"/>
      <c r="X5" s="6"/>
      <c r="Y5" s="6"/>
      <c r="Z5" s="6"/>
      <c r="AA5" s="6"/>
      <c r="AB5" s="6"/>
      <c r="AC5" s="6"/>
      <c r="AD5" s="6"/>
      <c r="AE5" s="6"/>
      <c r="AF5" s="6"/>
      <c r="AG5" s="6"/>
      <c r="AH5" s="6"/>
      <c r="AI5" s="6"/>
      <c r="AJ5" s="6"/>
      <c r="AK5" t="s">
        <v>1939</v>
      </c>
      <c r="AN5" t="str">
        <f t="shared" si="0"/>
        <v>Наименование признака дифференциации</v>
      </c>
    </row>
    <row r="6" spans="5:40" ht="23.25" hidden="1" customHeight="1" x14ac:dyDescent="0.15">
      <c r="E6" s="6"/>
      <c r="F6" s="6"/>
      <c r="G6" s="6"/>
      <c r="H6" s="6"/>
      <c r="I6" s="6"/>
      <c r="J6" s="6" t="e">
        <f>I5&amp;".1"</f>
        <v>#N/A</v>
      </c>
      <c r="L6" t="s">
        <v>1730</v>
      </c>
      <c r="P6" s="6"/>
      <c r="Q6" s="6">
        <v>1</v>
      </c>
      <c r="S6" t="e">
        <f>$J6</f>
        <v>#N/A</v>
      </c>
      <c r="T6" t="s">
        <v>1731</v>
      </c>
      <c r="V6" s="6"/>
      <c r="W6" s="6"/>
      <c r="X6" s="6"/>
      <c r="Y6" s="6"/>
      <c r="Z6" s="6"/>
      <c r="AA6" s="6"/>
      <c r="AB6" s="6"/>
      <c r="AC6" s="6"/>
      <c r="AD6" s="6"/>
      <c r="AE6" s="6"/>
      <c r="AF6" s="6"/>
      <c r="AG6" s="6"/>
      <c r="AH6" s="6"/>
      <c r="AI6" s="6"/>
      <c r="AJ6" s="6"/>
      <c r="AK6" t="s">
        <v>1940</v>
      </c>
      <c r="AN6" t="str">
        <f t="shared" si="0"/>
        <v>Группа потребителей</v>
      </c>
    </row>
    <row r="7" spans="5:40" ht="23.25" hidden="1" customHeight="1" x14ac:dyDescent="0.15">
      <c r="E7" s="6"/>
      <c r="F7" s="6"/>
      <c r="G7" s="6"/>
      <c r="H7" s="6"/>
      <c r="I7" s="6"/>
      <c r="J7" s="6"/>
      <c r="K7" s="6" t="e">
        <f>J6&amp;".1"</f>
        <v>#N/A</v>
      </c>
      <c r="P7" s="6"/>
      <c r="Q7" s="6"/>
      <c r="R7">
        <v>1</v>
      </c>
      <c r="S7" t="e">
        <f>$K7</f>
        <v>#N/A</v>
      </c>
      <c r="Y7" s="6"/>
      <c r="Z7" s="6" t="s">
        <v>50</v>
      </c>
      <c r="AA7" s="6"/>
      <c r="AB7" s="6" t="s">
        <v>50</v>
      </c>
      <c r="AF7" s="6"/>
      <c r="AG7" s="6" t="s">
        <v>50</v>
      </c>
      <c r="AH7" s="6"/>
      <c r="AI7" s="6" t="s">
        <v>50</v>
      </c>
      <c r="AK7"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t="e">
        <f ca="1">STRCHECKDATE(V8:AJ8)</f>
        <v>#NAME?</v>
      </c>
      <c r="AN7" t="str">
        <f t="shared" si="0"/>
        <v/>
      </c>
    </row>
    <row r="8" spans="5:40" ht="0.75" hidden="1" customHeight="1" x14ac:dyDescent="0.15">
      <c r="E8" s="6"/>
      <c r="F8" s="6"/>
      <c r="G8" s="6"/>
      <c r="H8" s="6"/>
      <c r="I8" s="6"/>
      <c r="J8" s="6"/>
      <c r="K8" s="6"/>
      <c r="P8" s="6"/>
      <c r="Q8" s="6"/>
      <c r="X8" t="str">
        <f>Y7&amp;"-"&amp;AA7</f>
        <v>-</v>
      </c>
      <c r="Y8" s="6"/>
      <c r="Z8" s="6"/>
      <c r="AA8" s="6"/>
      <c r="AB8" s="6"/>
      <c r="AE8" t="str">
        <f>AF7&amp;"-"&amp;AH7</f>
        <v>-</v>
      </c>
      <c r="AF8" s="6"/>
      <c r="AG8" s="6"/>
      <c r="AH8" s="6"/>
      <c r="AI8" s="6"/>
      <c r="AK8" s="6"/>
      <c r="AN8" t="str">
        <f t="shared" si="0"/>
        <v/>
      </c>
    </row>
    <row r="9" spans="5:40" ht="21" hidden="1" customHeight="1" x14ac:dyDescent="0.15">
      <c r="E9" s="6"/>
      <c r="F9" s="6"/>
      <c r="G9" s="6"/>
      <c r="H9" s="6"/>
      <c r="I9" s="6"/>
      <c r="J9" s="6"/>
      <c r="P9" s="6"/>
      <c r="Q9" s="6"/>
      <c r="T9" t="s">
        <v>1941</v>
      </c>
      <c r="AK9" t="s">
        <v>1942</v>
      </c>
      <c r="AN9" t="str">
        <f t="shared" si="0"/>
        <v>Добавить значение признака дифференциации</v>
      </c>
    </row>
    <row r="10" spans="5:40" ht="21" hidden="1" customHeight="1" x14ac:dyDescent="0.15">
      <c r="E10" s="6"/>
      <c r="F10" s="6"/>
      <c r="G10" s="6"/>
      <c r="H10" s="6"/>
      <c r="I10" s="6"/>
      <c r="P10" s="6"/>
      <c r="T10" t="s">
        <v>1736</v>
      </c>
      <c r="AN10" t="str">
        <f t="shared" si="0"/>
        <v>Добавить группу потребителей</v>
      </c>
    </row>
    <row r="11" spans="5:40" ht="21" hidden="1" customHeight="1" x14ac:dyDescent="0.15">
      <c r="E11" s="6"/>
      <c r="F11" s="6"/>
      <c r="G11" s="6"/>
      <c r="H11" s="6"/>
      <c r="T11" t="s">
        <v>1943</v>
      </c>
      <c r="AN11" t="str">
        <f t="shared" si="0"/>
        <v>Добавить наименование признака дифференциации</v>
      </c>
    </row>
    <row r="12" spans="5:40" ht="0.75" hidden="1" customHeight="1" x14ac:dyDescent="0.15">
      <c r="E12" s="6"/>
      <c r="F12" s="6"/>
      <c r="T12" t="s">
        <v>1697</v>
      </c>
      <c r="AN12" t="str">
        <f t="shared" si="0"/>
        <v>Добавить централизованную систему для дифференциации</v>
      </c>
    </row>
    <row r="13" spans="5:40" ht="0.75" hidden="1" customHeight="1" x14ac:dyDescent="0.15">
      <c r="E13" s="6"/>
      <c r="T13" t="s">
        <v>1698</v>
      </c>
      <c r="AN13" t="str">
        <f t="shared" si="0"/>
        <v>Добавить территорию для дифференциации</v>
      </c>
    </row>
    <row r="14" spans="5:40" ht="14.25" hidden="1" customHeight="1" x14ac:dyDescent="0.15"/>
    <row r="15" spans="5:40" ht="14.25" hidden="1" customHeight="1" x14ac:dyDescent="0.15">
      <c r="AF15" s="6"/>
      <c r="AG15" s="6" t="s">
        <v>50</v>
      </c>
      <c r="AH15" s="6"/>
      <c r="AI15" s="6" t="s">
        <v>50</v>
      </c>
    </row>
    <row r="16" spans="5:40" ht="14.25" hidden="1" customHeight="1" x14ac:dyDescent="0.15">
      <c r="AE16" t="str">
        <f>AF15&amp;"-"&amp;AH15</f>
        <v>-</v>
      </c>
      <c r="AF16" s="6"/>
      <c r="AG16" s="6"/>
      <c r="AH16" s="6"/>
      <c r="AI16" s="6"/>
    </row>
    <row r="17" spans="15:35" ht="14.25" hidden="1" customHeight="1" x14ac:dyDescent="0.15"/>
    <row r="18" spans="15:35" ht="14.25" hidden="1" customHeight="1" x14ac:dyDescent="0.15">
      <c r="O18" t="s">
        <v>1738</v>
      </c>
    </row>
    <row r="19" spans="15:35" ht="14.25" hidden="1" customHeight="1" x14ac:dyDescent="0.15"/>
    <row r="20" spans="15:35" ht="12" hidden="1" customHeight="1" x14ac:dyDescent="0.15">
      <c r="O20" t="s">
        <v>1739</v>
      </c>
      <c r="T20" t="s">
        <v>1740</v>
      </c>
      <c r="Z20" t="s">
        <v>1741</v>
      </c>
      <c r="AB20" t="s">
        <v>1742</v>
      </c>
      <c r="AC20" t="s">
        <v>1740</v>
      </c>
      <c r="AG20" t="s">
        <v>1743</v>
      </c>
      <c r="AI20" t="s">
        <v>1742</v>
      </c>
    </row>
    <row r="21" spans="15:35" ht="14.25" hidden="1" customHeight="1" x14ac:dyDescent="0.15"/>
    <row r="22" spans="15:35" ht="14.25" hidden="1" customHeight="1" x14ac:dyDescent="0.15"/>
    <row r="24" spans="15:35" ht="32.25" customHeight="1" x14ac:dyDescent="0.15">
      <c r="S24" s="6"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6"/>
      <c r="U24" s="6"/>
      <c r="V24" s="6"/>
      <c r="W24" s="6"/>
      <c r="X24" s="6"/>
      <c r="Y24" s="6"/>
      <c r="Z24" s="6"/>
      <c r="AA24" s="6"/>
      <c r="AB24" s="6"/>
      <c r="AC24" s="6"/>
      <c r="AD24" s="6"/>
      <c r="AE24" s="6"/>
      <c r="AF24" s="6"/>
      <c r="AG24" s="6"/>
      <c r="AH24" s="6"/>
    </row>
    <row r="25" spans="15:35" ht="14.25" customHeight="1" x14ac:dyDescent="0.15">
      <c r="S25" s="6" t="str">
        <f>IF(org=0,"Не определено",org)</f>
        <v>КГУП "Примтеплоэнерго"</v>
      </c>
      <c r="T25" s="6"/>
      <c r="U25" s="6"/>
      <c r="V25" s="6"/>
      <c r="W25" s="6"/>
      <c r="X25" s="6"/>
      <c r="Y25" s="6"/>
      <c r="Z25" s="6"/>
      <c r="AA25" s="6"/>
      <c r="AB25" s="6"/>
      <c r="AC25" s="6"/>
      <c r="AD25" s="6"/>
      <c r="AE25" s="6"/>
      <c r="AF25" s="6"/>
      <c r="AG25" s="6"/>
      <c r="AH25" s="6"/>
    </row>
    <row r="26" spans="15:35" ht="14.25" hidden="1" customHeight="1" x14ac:dyDescent="0.15"/>
    <row r="27" spans="15:35" ht="25.5" hidden="1" customHeight="1" x14ac:dyDescent="0.15">
      <c r="S27" s="6" t="s">
        <v>25</v>
      </c>
      <c r="T27" s="6"/>
      <c r="V27" s="6" t="str">
        <f>IF(TITLE_NAME_OR_PR_CHANGE="",IF(TITLE_NAME_OR_PR="","",TITLE_NAME_OR_PR),TITLE_NAME_OR_PR_CHANGE)</f>
        <v/>
      </c>
      <c r="W27" s="6"/>
      <c r="X27" s="6"/>
      <c r="Y27" s="6"/>
      <c r="Z27" s="6"/>
      <c r="AA27" s="6"/>
      <c r="AC27" s="6" t="str">
        <f>IF(TITLE_NAME_OR_PR_CHANGE="",IF(TITLE_NAME_OR_PR="","",TITLE_NAME_OR_PR),TITLE_NAME_OR_PR_CHANGE)</f>
        <v/>
      </c>
      <c r="AD27" s="6"/>
      <c r="AE27" s="6"/>
      <c r="AF27" s="6"/>
      <c r="AG27" s="6"/>
      <c r="AH27" s="6"/>
    </row>
    <row r="28" spans="15:35" ht="18.75" hidden="1" customHeight="1" x14ac:dyDescent="0.15">
      <c r="S28" s="6" t="s">
        <v>1744</v>
      </c>
      <c r="T28" s="6"/>
      <c r="V28" s="6" t="str">
        <f>IF(TITLE_DATE_CHANGE_PERIOD="",IF(TITLE_DATE_PR="","",TITLE_DATE_PR),TITLE_DATE_CHANGE_PERIOD)</f>
        <v/>
      </c>
      <c r="W28" s="6"/>
      <c r="X28" s="6"/>
      <c r="Y28" s="6"/>
      <c r="Z28" s="6"/>
      <c r="AA28" s="6"/>
      <c r="AC28" s="6" t="str">
        <f>IF(TITLE_DATE_CHANGE_PERIOD="",IF(TITLE_DATE_PR="","",TITLE_DATE_PR),TITLE_DATE_CHANGE_PERIOD)</f>
        <v/>
      </c>
      <c r="AD28" s="6"/>
      <c r="AE28" s="6"/>
      <c r="AF28" s="6"/>
      <c r="AG28" s="6"/>
      <c r="AH28" s="6"/>
    </row>
    <row r="29" spans="15:35" ht="18.75" hidden="1" customHeight="1" x14ac:dyDescent="0.15">
      <c r="S29" s="6" t="s">
        <v>1745</v>
      </c>
      <c r="T29" s="6"/>
      <c r="V29" s="6" t="str">
        <f>IF(TITLE_NUMBER_PR_CHANGE="",IF(TITLE_NUMBER_PR="","",TITLE_NUMBER_PR),TITLE_NUMBER_PR_CHANGE)</f>
        <v/>
      </c>
      <c r="W29" s="6"/>
      <c r="X29" s="6"/>
      <c r="Y29" s="6"/>
      <c r="Z29" s="6"/>
      <c r="AA29" s="6"/>
      <c r="AC29" s="6" t="str">
        <f>IF(TITLE_NUMBER_PR_CHANGE="",IF(TITLE_NUMBER_PR="","",TITLE_NUMBER_PR),TITLE_NUMBER_PR_CHANGE)</f>
        <v/>
      </c>
      <c r="AD29" s="6"/>
      <c r="AE29" s="6"/>
      <c r="AF29" s="6"/>
      <c r="AG29" s="6"/>
      <c r="AH29" s="6"/>
    </row>
    <row r="30" spans="15:35" ht="18.75" hidden="1" customHeight="1" x14ac:dyDescent="0.15">
      <c r="S30" s="6" t="s">
        <v>26</v>
      </c>
      <c r="T30" s="6"/>
      <c r="V30" s="6" t="str">
        <f>IF(TITLE_IST_PUB_CHANGE="",IF(TITLE_IST_PUB="","",TITLE_IST_PUB),TITLE_IST_PUB_CHANGE)</f>
        <v/>
      </c>
      <c r="W30" s="6"/>
      <c r="X30" s="6"/>
      <c r="Y30" s="6"/>
      <c r="Z30" s="6"/>
      <c r="AA30" s="6"/>
      <c r="AC30" s="6" t="str">
        <f>IF(TITLE_IST_PUB_CHANGE="",IF(TITLE_IST_PUB="","",TITLE_IST_PUB),TITLE_IST_PUB_CHANGE)</f>
        <v/>
      </c>
      <c r="AD30" s="6"/>
      <c r="AE30" s="6"/>
      <c r="AF30" s="6"/>
      <c r="AG30" s="6"/>
      <c r="AH30" s="6"/>
    </row>
    <row r="31" spans="15:35" ht="14.25" hidden="1" customHeight="1" x14ac:dyDescent="0.15"/>
    <row r="32" spans="15:35" ht="18.75" hidden="1" customHeight="1" x14ac:dyDescent="0.15">
      <c r="S32" s="6" t="s">
        <v>1746</v>
      </c>
      <c r="T32" s="6"/>
      <c r="V32" s="6" t="str">
        <f>IF(TITLE_DATE_CHANGE_PERIOD="",IF(TITLE_DATE_PR="","",TITLE_DATE_PR),TITLE_DATE_CHANGE_PERIOD)</f>
        <v/>
      </c>
      <c r="W32" s="6"/>
      <c r="X32" s="6"/>
      <c r="Y32" s="6"/>
      <c r="Z32" s="6"/>
      <c r="AA32" s="6"/>
      <c r="AC32" s="6" t="str">
        <f>IF(TITLE_DATE_CHANGE_PERIOD="",IF(TITLE_DATE_PR="","",TITLE_DATE_PR),TITLE_DATE_CHANGE_PERIOD)</f>
        <v/>
      </c>
      <c r="AD32" s="6"/>
      <c r="AE32" s="6"/>
      <c r="AF32" s="6"/>
      <c r="AG32" s="6"/>
      <c r="AH32" s="6"/>
    </row>
    <row r="33" spans="1:40" ht="18.75" hidden="1" customHeight="1" x14ac:dyDescent="0.15">
      <c r="S33" s="6" t="s">
        <v>1747</v>
      </c>
      <c r="T33" s="6"/>
      <c r="V33" s="6" t="str">
        <f>IF(TITLE_NUMBER_PR_CHANGE="",IF(TITLE_NUMBER_PR="","",TITLE_NUMBER_PR),TITLE_NUMBER_PR_CHANGE)</f>
        <v/>
      </c>
      <c r="W33" s="6"/>
      <c r="X33" s="6"/>
      <c r="Y33" s="6"/>
      <c r="Z33" s="6"/>
      <c r="AA33" s="6"/>
      <c r="AC33" s="6" t="str">
        <f>IF(TITLE_NUMBER_PR_CHANGE="",IF(TITLE_NUMBER_PR="","",TITLE_NUMBER_PR),TITLE_NUMBER_PR_CHANGE)</f>
        <v/>
      </c>
      <c r="AD33" s="6"/>
      <c r="AE33" s="6"/>
      <c r="AF33" s="6"/>
      <c r="AG33" s="6"/>
      <c r="AH33" s="6"/>
    </row>
    <row r="34" spans="1:40" ht="0.75" customHeight="1" x14ac:dyDescent="0.15">
      <c r="AB34" t="s">
        <v>1748</v>
      </c>
      <c r="AI34" t="s">
        <v>1748</v>
      </c>
    </row>
    <row r="35" spans="1:40" ht="14.25" customHeight="1" x14ac:dyDescent="0.15">
      <c r="V35" s="6"/>
      <c r="W35" s="6"/>
      <c r="X35" s="6"/>
      <c r="Y35" s="6"/>
      <c r="Z35" s="6"/>
      <c r="AA35" s="6"/>
      <c r="AB35" s="6"/>
      <c r="AC35" s="6"/>
      <c r="AD35" s="6"/>
      <c r="AE35" s="6"/>
      <c r="AF35" s="6"/>
      <c r="AG35" s="6"/>
      <c r="AH35" s="6"/>
      <c r="AI35" s="6"/>
    </row>
    <row r="36" spans="1:40" ht="14.25" customHeight="1" x14ac:dyDescent="0.15">
      <c r="S36" s="6" t="s">
        <v>593</v>
      </c>
      <c r="T36" s="6"/>
      <c r="U36" s="6"/>
      <c r="V36" s="6"/>
      <c r="W36" s="6"/>
      <c r="X36" s="6"/>
      <c r="Y36" s="6"/>
      <c r="Z36" s="6"/>
      <c r="AA36" s="6"/>
      <c r="AB36" s="6"/>
      <c r="AC36" s="6"/>
      <c r="AD36" s="6"/>
      <c r="AE36" s="6"/>
      <c r="AF36" s="6"/>
      <c r="AG36" s="6"/>
      <c r="AH36" s="6"/>
      <c r="AI36" s="6"/>
      <c r="AJ36" s="6"/>
      <c r="AK36" s="6" t="s">
        <v>594</v>
      </c>
    </row>
    <row r="37" spans="1:40" ht="14.25" customHeight="1" x14ac:dyDescent="0.15">
      <c r="S37" s="6" t="s">
        <v>75</v>
      </c>
      <c r="T37" s="6" t="s">
        <v>1749</v>
      </c>
      <c r="V37" s="6" t="s">
        <v>1750</v>
      </c>
      <c r="W37" s="6"/>
      <c r="X37" s="6"/>
      <c r="Y37" s="6"/>
      <c r="Z37" s="6"/>
      <c r="AA37" s="6"/>
      <c r="AB37" s="6" t="s">
        <v>1751</v>
      </c>
      <c r="AC37" s="6" t="s">
        <v>1750</v>
      </c>
      <c r="AD37" s="6"/>
      <c r="AE37" s="6"/>
      <c r="AF37" s="6"/>
      <c r="AG37" s="6"/>
      <c r="AH37" s="6"/>
      <c r="AI37" s="6" t="s">
        <v>1752</v>
      </c>
      <c r="AJ37" s="6" t="s">
        <v>1753</v>
      </c>
      <c r="AK37" s="6"/>
    </row>
    <row r="38" spans="1:40" ht="33.75" customHeight="1" x14ac:dyDescent="0.15">
      <c r="S38" s="6"/>
      <c r="T38" s="6"/>
      <c r="V38" t="s">
        <v>1944</v>
      </c>
      <c r="W38" s="6" t="s">
        <v>1756</v>
      </c>
      <c r="X38" s="6"/>
      <c r="Y38" s="6" t="s">
        <v>1757</v>
      </c>
      <c r="Z38" s="6"/>
      <c r="AA38" s="6"/>
      <c r="AB38" s="6"/>
      <c r="AC38" t="s">
        <v>1944</v>
      </c>
      <c r="AD38" s="6" t="s">
        <v>1756</v>
      </c>
      <c r="AE38" s="6"/>
      <c r="AF38" s="6" t="s">
        <v>1757</v>
      </c>
      <c r="AG38" s="6"/>
      <c r="AH38" s="6"/>
      <c r="AI38" s="6"/>
      <c r="AJ38" s="6"/>
      <c r="AK38" s="6"/>
    </row>
    <row r="39" spans="1:40" ht="86.25" customHeight="1" x14ac:dyDescent="0.15">
      <c r="B39" t="s">
        <v>443</v>
      </c>
      <c r="C39" t="s">
        <v>444</v>
      </c>
      <c r="D39" t="s">
        <v>445</v>
      </c>
      <c r="E39" t="s">
        <v>1758</v>
      </c>
      <c r="F39" t="s">
        <v>1759</v>
      </c>
      <c r="G39" t="s">
        <v>1760</v>
      </c>
      <c r="I39" t="s">
        <v>1945</v>
      </c>
      <c r="J39" t="s">
        <v>1763</v>
      </c>
      <c r="K39" t="s">
        <v>1946</v>
      </c>
      <c r="L39" t="s">
        <v>1739</v>
      </c>
      <c r="S39" s="6"/>
      <c r="T39" s="6"/>
      <c r="V39" t="s">
        <v>3538</v>
      </c>
      <c r="W39" t="s">
        <v>3539</v>
      </c>
      <c r="X39" t="s">
        <v>1949</v>
      </c>
      <c r="Y39" t="s">
        <v>1767</v>
      </c>
      <c r="Z39" s="6" t="s">
        <v>1768</v>
      </c>
      <c r="AA39" s="6"/>
      <c r="AB39" s="6"/>
      <c r="AC39" t="s">
        <v>3538</v>
      </c>
      <c r="AD39" t="s">
        <v>3539</v>
      </c>
      <c r="AE39" t="s">
        <v>1949</v>
      </c>
      <c r="AF39" t="s">
        <v>1767</v>
      </c>
      <c r="AG39" s="6" t="s">
        <v>1768</v>
      </c>
      <c r="AH39" s="6"/>
      <c r="AI39" s="6"/>
      <c r="AJ39" s="6"/>
      <c r="AK39" s="6"/>
    </row>
    <row r="40" spans="1:40" ht="11.25" hidden="1" customHeight="1" x14ac:dyDescent="0.15">
      <c r="R40">
        <v>1</v>
      </c>
      <c r="S40" t="s">
        <v>165</v>
      </c>
      <c r="T40" t="s">
        <v>89</v>
      </c>
      <c r="U40" t="str">
        <f ca="1">OFFSET(U40,0,-1)</f>
        <v>2</v>
      </c>
      <c r="V40">
        <f ca="1">OFFSET(V40,0,-1)+1</f>
        <v>3</v>
      </c>
      <c r="W40">
        <f ca="1">OFFSET(W40,0,-1)+1</f>
        <v>4</v>
      </c>
      <c r="X40">
        <f ca="1">OFFSET(X40,0,-1)+1</f>
        <v>5</v>
      </c>
      <c r="Y40">
        <f ca="1">OFFSET(Y40,0,-1)+1</f>
        <v>6</v>
      </c>
      <c r="Z40" s="6">
        <f ca="1">OFFSET(Z40,0,-1)+1</f>
        <v>7</v>
      </c>
      <c r="AA40" s="6"/>
      <c r="AB40">
        <f ca="1">OFFSET(AB40,0,-2)+1</f>
        <v>8</v>
      </c>
      <c r="AC40">
        <f ca="1">OFFSET(AC40,0,-1)+1</f>
        <v>9</v>
      </c>
      <c r="AD40">
        <f ca="1">OFFSET(AD40,0,-1)+1</f>
        <v>10</v>
      </c>
      <c r="AE40">
        <f ca="1">OFFSET(AE40,0,-1)+1</f>
        <v>11</v>
      </c>
      <c r="AF40">
        <f ca="1">OFFSET(AF40,0,-1)+1</f>
        <v>12</v>
      </c>
      <c r="AG40" s="6">
        <f ca="1">OFFSET(AG40,0,-1)+1</f>
        <v>13</v>
      </c>
      <c r="AH40" s="6"/>
      <c r="AI40">
        <f ca="1">OFFSET(AI40,0,-2)+1</f>
        <v>14</v>
      </c>
      <c r="AJ40">
        <f ca="1">OFFSET(AJ40,0,-1)</f>
        <v>14</v>
      </c>
      <c r="AK40">
        <f ca="1">OFFSET(AK40,0,-1)+1</f>
        <v>15</v>
      </c>
    </row>
    <row r="41" spans="1:40" ht="23.25" customHeight="1" x14ac:dyDescent="0.15">
      <c r="A41" t="s">
        <v>564</v>
      </c>
      <c r="E41" s="6">
        <v>1</v>
      </c>
      <c r="S41">
        <f>INDEX(PT_DIFFERENTIATION_NUM_NTAR,MATCH(A41,PT_DIFFERENTIATION_NTAR_ID,0))</f>
        <v>0</v>
      </c>
      <c r="T41" t="s">
        <v>431</v>
      </c>
      <c r="V41" s="6"/>
      <c r="W41" s="6"/>
      <c r="X41" s="6"/>
      <c r="Y41" s="6"/>
      <c r="Z41" s="6"/>
      <c r="AA41" s="6"/>
      <c r="AB41" s="6"/>
      <c r="AC41" s="6" t="str">
        <f>INDEX(PT_DIFFERENTIATION_NTAR,MATCH(A41,PT_DIFFERENTIATION_NTAR_ID,0))</f>
        <v/>
      </c>
      <c r="AD41" s="6"/>
      <c r="AE41" s="6"/>
      <c r="AF41" s="6"/>
      <c r="AG41" s="6"/>
      <c r="AH41" s="6"/>
      <c r="AI41" s="6"/>
      <c r="AJ41" s="6"/>
      <c r="AK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N41" t="str">
        <f t="shared" ref="AN41:AN53" si="1">IF(T41="","",T41)</f>
        <v>Наименование тарифа</v>
      </c>
    </row>
    <row r="42" spans="1:40" ht="23.25" customHeight="1" x14ac:dyDescent="0.15">
      <c r="A42" t="s">
        <v>564</v>
      </c>
      <c r="B42" t="s">
        <v>565</v>
      </c>
      <c r="E42" s="6"/>
      <c r="F42" s="6">
        <v>1</v>
      </c>
      <c r="S42" t="str">
        <f>INDEX(PT_DIFFERENTIATION_NUM_TER,MATCH(B42,PT_DIFFERENTIATION_TER_ID,0))</f>
        <v>.</v>
      </c>
      <c r="T42" t="s">
        <v>1721</v>
      </c>
      <c r="V42" s="6"/>
      <c r="W42" s="6"/>
      <c r="X42" s="6"/>
      <c r="Y42" s="6"/>
      <c r="Z42" s="6"/>
      <c r="AA42" s="6"/>
      <c r="AB42" s="6"/>
      <c r="AC42" s="6" t="str">
        <f>INDEX(PT_DIFFERENTIATION_TER,MATCH(B42,PT_DIFFERENTIATION_TER_ID,0))</f>
        <v/>
      </c>
      <c r="AD42" s="6"/>
      <c r="AE42" s="6"/>
      <c r="AF42" s="6"/>
      <c r="AG42" s="6"/>
      <c r="AH42" s="6"/>
      <c r="AI42" s="6"/>
      <c r="AJ42" s="6"/>
      <c r="AK42" t="s">
        <v>1722</v>
      </c>
      <c r="AN42" t="str">
        <f t="shared" si="1"/>
        <v>Территория действия тарифа</v>
      </c>
    </row>
    <row r="43" spans="1:40" ht="23.25" customHeight="1" x14ac:dyDescent="0.15">
      <c r="A43" t="s">
        <v>564</v>
      </c>
      <c r="B43" t="s">
        <v>565</v>
      </c>
      <c r="C43" t="s">
        <v>566</v>
      </c>
      <c r="E43" s="6"/>
      <c r="F43" s="6"/>
      <c r="G43" s="6">
        <v>1</v>
      </c>
      <c r="S43" t="str">
        <f>INDEX(PT_DIFFERENTIATION_NUM_CS,MATCH(C43,PT_DIFFERENTIATION_CS_ID,0))</f>
        <v>..</v>
      </c>
      <c r="T43" t="s">
        <v>3536</v>
      </c>
      <c r="V43" s="6"/>
      <c r="W43" s="6"/>
      <c r="X43" s="6"/>
      <c r="Y43" s="6"/>
      <c r="Z43" s="6"/>
      <c r="AA43" s="6"/>
      <c r="AB43" s="6"/>
      <c r="AC43" s="6" t="str">
        <f>INDEX(PT_DIFFERENTIATION_CS,MATCH(C43,PT_DIFFERENTIATION_CS_ID,0))</f>
        <v/>
      </c>
      <c r="AD43" s="6"/>
      <c r="AE43" s="6"/>
      <c r="AF43" s="6"/>
      <c r="AG43" s="6"/>
      <c r="AH43" s="6"/>
      <c r="AI43" s="6"/>
      <c r="AJ43" s="6"/>
      <c r="AK43" t="s">
        <v>3537</v>
      </c>
      <c r="AN43" t="str">
        <f t="shared" si="1"/>
        <v>Наименование централизованной системы водоотведения</v>
      </c>
    </row>
    <row r="44" spans="1:40" ht="23.25" customHeight="1" x14ac:dyDescent="0.15">
      <c r="A44" t="s">
        <v>564</v>
      </c>
      <c r="B44" t="s">
        <v>565</v>
      </c>
      <c r="C44" t="s">
        <v>566</v>
      </c>
      <c r="D44" t="s">
        <v>3543</v>
      </c>
      <c r="E44" s="6"/>
      <c r="F44" s="6"/>
      <c r="G44" s="6"/>
      <c r="H44" s="6"/>
      <c r="I44" s="6" t="str">
        <f>S43&amp;".1"</f>
        <v>...1</v>
      </c>
      <c r="P44" s="6">
        <v>1</v>
      </c>
      <c r="S44" t="str">
        <f>$I44</f>
        <v>...1</v>
      </c>
      <c r="T44" t="s">
        <v>1938</v>
      </c>
      <c r="V44" s="6"/>
      <c r="W44" s="6"/>
      <c r="X44" s="6"/>
      <c r="Y44" s="6"/>
      <c r="Z44" s="6"/>
      <c r="AA44" s="6"/>
      <c r="AB44" s="6"/>
      <c r="AC44" s="6"/>
      <c r="AD44" s="6"/>
      <c r="AE44" s="6"/>
      <c r="AF44" s="6"/>
      <c r="AG44" s="6"/>
      <c r="AH44" s="6"/>
      <c r="AI44" s="6"/>
      <c r="AJ44" s="6"/>
      <c r="AK44" t="s">
        <v>1939</v>
      </c>
      <c r="AN44" t="str">
        <f t="shared" si="1"/>
        <v>Наименование признака дифференциации</v>
      </c>
    </row>
    <row r="45" spans="1:40" ht="23.25" customHeight="1" x14ac:dyDescent="0.15">
      <c r="A45" t="s">
        <v>564</v>
      </c>
      <c r="B45" t="s">
        <v>565</v>
      </c>
      <c r="C45" t="s">
        <v>566</v>
      </c>
      <c r="D45" t="s">
        <v>3543</v>
      </c>
      <c r="E45" s="6"/>
      <c r="F45" s="6"/>
      <c r="G45" s="6"/>
      <c r="H45" s="6"/>
      <c r="I45" s="6"/>
      <c r="J45" s="6" t="str">
        <f>I44&amp;".1"</f>
        <v>...1.1</v>
      </c>
      <c r="L45" t="s">
        <v>1730</v>
      </c>
      <c r="P45" s="6"/>
      <c r="Q45" s="6">
        <v>1</v>
      </c>
      <c r="S45" t="str">
        <f>$J45</f>
        <v>...1.1</v>
      </c>
      <c r="T45" t="s">
        <v>1731</v>
      </c>
      <c r="V45" s="6"/>
      <c r="W45" s="6"/>
      <c r="X45" s="6"/>
      <c r="Y45" s="6"/>
      <c r="Z45" s="6"/>
      <c r="AA45" s="6"/>
      <c r="AB45" s="6"/>
      <c r="AC45" s="6"/>
      <c r="AD45" s="6"/>
      <c r="AE45" s="6"/>
      <c r="AF45" s="6"/>
      <c r="AG45" s="6"/>
      <c r="AH45" s="6"/>
      <c r="AI45" s="6"/>
      <c r="AJ45" s="6"/>
      <c r="AK45" t="s">
        <v>1940</v>
      </c>
      <c r="AN45" t="str">
        <f t="shared" si="1"/>
        <v>Группа потребителей</v>
      </c>
    </row>
    <row r="46" spans="1:40" ht="23.25" customHeight="1" x14ac:dyDescent="0.15">
      <c r="A46" t="s">
        <v>564</v>
      </c>
      <c r="B46" t="s">
        <v>565</v>
      </c>
      <c r="C46" t="s">
        <v>566</v>
      </c>
      <c r="D46" t="s">
        <v>3543</v>
      </c>
      <c r="E46" s="6"/>
      <c r="F46" s="6"/>
      <c r="G46" s="6"/>
      <c r="H46" s="6"/>
      <c r="I46" s="6"/>
      <c r="J46" s="6"/>
      <c r="K46" s="6" t="str">
        <f>J45&amp;".1"</f>
        <v>...1.1.1</v>
      </c>
      <c r="P46" s="6"/>
      <c r="Q46" s="6"/>
      <c r="R46">
        <v>1</v>
      </c>
      <c r="S46" t="str">
        <f>$K46</f>
        <v>...1.1.1</v>
      </c>
      <c r="Y46" s="6"/>
      <c r="Z46" s="6" t="s">
        <v>50</v>
      </c>
      <c r="AA46" s="6"/>
      <c r="AB46" s="6" t="s">
        <v>50</v>
      </c>
      <c r="AF46" s="6"/>
      <c r="AG46" s="6" t="s">
        <v>50</v>
      </c>
      <c r="AH46" s="6"/>
      <c r="AI46" s="6" t="s">
        <v>43</v>
      </c>
      <c r="AK46" s="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t="e">
        <f ca="1">STRCHECKDATE(V47:AJ47)</f>
        <v>#NAME?</v>
      </c>
      <c r="AN46" t="str">
        <f t="shared" si="1"/>
        <v/>
      </c>
    </row>
    <row r="47" spans="1:40" ht="0" hidden="1" customHeight="1" x14ac:dyDescent="0.15">
      <c r="A47" t="s">
        <v>564</v>
      </c>
      <c r="B47" t="s">
        <v>565</v>
      </c>
      <c r="C47" t="s">
        <v>566</v>
      </c>
      <c r="D47" t="s">
        <v>3543</v>
      </c>
      <c r="E47" s="6"/>
      <c r="F47" s="6"/>
      <c r="G47" s="6"/>
      <c r="H47" s="6"/>
      <c r="I47" s="6"/>
      <c r="J47" s="6"/>
      <c r="K47" s="6"/>
      <c r="P47" s="6"/>
      <c r="Q47" s="6"/>
      <c r="X47" t="str">
        <f>Y46&amp;"-"&amp;AA46</f>
        <v>-</v>
      </c>
      <c r="Y47" s="6"/>
      <c r="Z47" s="6"/>
      <c r="AA47" s="6"/>
      <c r="AB47" s="6"/>
      <c r="AE47" t="str">
        <f>AF46&amp;"-"&amp;AH46</f>
        <v>-</v>
      </c>
      <c r="AF47" s="6"/>
      <c r="AG47" s="6"/>
      <c r="AH47" s="6"/>
      <c r="AI47" s="6"/>
      <c r="AK47" s="6"/>
      <c r="AN47" t="str">
        <f t="shared" si="1"/>
        <v/>
      </c>
    </row>
    <row r="48" spans="1:40" ht="21" customHeight="1" x14ac:dyDescent="0.15">
      <c r="A48" t="s">
        <v>564</v>
      </c>
      <c r="B48" t="s">
        <v>565</v>
      </c>
      <c r="C48" t="s">
        <v>566</v>
      </c>
      <c r="D48" t="s">
        <v>3543</v>
      </c>
      <c r="E48" s="6"/>
      <c r="F48" s="6"/>
      <c r="G48" s="6"/>
      <c r="H48" s="6"/>
      <c r="I48" s="6"/>
      <c r="J48" s="6"/>
      <c r="P48" s="6"/>
      <c r="Q48" s="6"/>
      <c r="T48" t="s">
        <v>1941</v>
      </c>
      <c r="AK48" t="s">
        <v>1942</v>
      </c>
      <c r="AN48" t="str">
        <f t="shared" si="1"/>
        <v>Добавить значение признака дифференциации</v>
      </c>
    </row>
    <row r="49" spans="1:40" ht="21" customHeight="1" x14ac:dyDescent="0.15">
      <c r="A49" t="s">
        <v>564</v>
      </c>
      <c r="B49" t="s">
        <v>565</v>
      </c>
      <c r="C49" t="s">
        <v>566</v>
      </c>
      <c r="D49" t="s">
        <v>3543</v>
      </c>
      <c r="E49" s="6"/>
      <c r="F49" s="6"/>
      <c r="G49" s="6"/>
      <c r="H49" s="6"/>
      <c r="I49" s="6"/>
      <c r="P49" s="6"/>
      <c r="T49" t="s">
        <v>1736</v>
      </c>
      <c r="AN49" t="str">
        <f t="shared" si="1"/>
        <v>Добавить группу потребителей</v>
      </c>
    </row>
    <row r="50" spans="1:40" ht="21" customHeight="1" x14ac:dyDescent="0.15">
      <c r="A50" t="s">
        <v>564</v>
      </c>
      <c r="B50" t="s">
        <v>565</v>
      </c>
      <c r="C50" t="s">
        <v>566</v>
      </c>
      <c r="D50" t="s">
        <v>3543</v>
      </c>
      <c r="E50" s="6"/>
      <c r="F50" s="6"/>
      <c r="G50" s="6"/>
      <c r="H50" s="6"/>
      <c r="T50" t="s">
        <v>1943</v>
      </c>
      <c r="AN50" t="str">
        <f t="shared" si="1"/>
        <v>Добавить наименование признака дифференциации</v>
      </c>
    </row>
    <row r="51" spans="1:40" ht="0.75" customHeight="1" x14ac:dyDescent="0.15">
      <c r="A51" t="s">
        <v>564</v>
      </c>
      <c r="B51" t="s">
        <v>565</v>
      </c>
      <c r="E51" s="6"/>
      <c r="F51" s="6"/>
      <c r="T51" t="s">
        <v>1697</v>
      </c>
      <c r="AN51" t="str">
        <f t="shared" si="1"/>
        <v>Добавить централизованную систему для дифференциации</v>
      </c>
    </row>
    <row r="52" spans="1:40" ht="0.75" customHeight="1" x14ac:dyDescent="0.15">
      <c r="A52" t="s">
        <v>564</v>
      </c>
      <c r="E52" s="6"/>
      <c r="T52" t="s">
        <v>1698</v>
      </c>
      <c r="AN52" t="str">
        <f t="shared" si="1"/>
        <v>Добавить территорию для дифференциации</v>
      </c>
    </row>
    <row r="53" spans="1:40" ht="0.75" customHeight="1" x14ac:dyDescent="0.15">
      <c r="T53" t="s">
        <v>1699</v>
      </c>
      <c r="AN53" t="str">
        <f t="shared" si="1"/>
        <v>Добавить наименование тарифа</v>
      </c>
    </row>
    <row r="54" spans="1:40" ht="11.25" customHeight="1" x14ac:dyDescent="0.15"/>
    <row r="55" spans="1:40" ht="14.25" customHeight="1" x14ac:dyDescent="0.15">
      <c r="S55" t="s">
        <v>1769</v>
      </c>
      <c r="T55" s="6" t="s">
        <v>3541</v>
      </c>
      <c r="U55" s="6"/>
      <c r="V55" s="6"/>
      <c r="W55" s="6"/>
      <c r="X55" s="6"/>
      <c r="Y55" s="6"/>
      <c r="Z55" s="6"/>
      <c r="AA55" s="6"/>
      <c r="AB55" s="6"/>
      <c r="AC55" s="6"/>
      <c r="AD55" s="6"/>
      <c r="AE55" s="6"/>
      <c r="AF55" s="6"/>
      <c r="AG55" s="6"/>
      <c r="AH55" s="6"/>
      <c r="AI55" s="6"/>
      <c r="AJ55" s="6"/>
      <c r="AK55" s="6"/>
    </row>
    <row r="57" spans="1:40" ht="14.25" customHeight="1" x14ac:dyDescent="0.15">
      <c r="S57" t="s">
        <v>1769</v>
      </c>
      <c r="T57" s="6" t="s">
        <v>3542</v>
      </c>
      <c r="U57" s="6"/>
      <c r="V57" s="6"/>
      <c r="W57" s="6"/>
      <c r="X57" s="6"/>
      <c r="Y57" s="6"/>
      <c r="Z57" s="6"/>
      <c r="AA57" s="6"/>
      <c r="AB57" s="6"/>
      <c r="AC57" s="6"/>
      <c r="AD57" s="6"/>
      <c r="AE57" s="6"/>
      <c r="AF57" s="6"/>
      <c r="AG57" s="6"/>
      <c r="AH57" s="6"/>
      <c r="AI57" s="6"/>
      <c r="AJ57" s="6"/>
      <c r="AK57" s="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F67"/>
  <sheetViews>
    <sheetView showGridLines="0" topLeftCell="R27" zoomScale="90" workbookViewId="0"/>
  </sheetViews>
  <sheetFormatPr defaultColWidth="10.5703125" defaultRowHeight="14.25" customHeight="1" x14ac:dyDescent="0.15"/>
  <cols>
    <col min="1" max="1" width="11.5703125" hidden="1" customWidth="1"/>
    <col min="2" max="2" width="11" hidden="1" customWidth="1"/>
    <col min="3" max="3" width="10.5703125" hidden="1"/>
    <col min="4" max="4" width="12.85546875" hidden="1" customWidth="1"/>
    <col min="5" max="5" width="10" hidden="1" customWidth="1"/>
    <col min="6" max="6" width="8.7109375" hidden="1" customWidth="1"/>
    <col min="7" max="7" width="7.5703125" hidden="1" customWidth="1"/>
    <col min="8" max="8" width="11.42578125" hidden="1" customWidth="1"/>
    <col min="9" max="9" width="12" hidden="1" customWidth="1"/>
    <col min="10" max="10" width="9.85546875" hidden="1" customWidth="1"/>
    <col min="11" max="11" width="11.42578125" hidden="1" customWidth="1"/>
    <col min="12" max="12" width="19.140625" hidden="1" customWidth="1"/>
    <col min="13" max="14" width="12.28515625" hidden="1" customWidth="1"/>
    <col min="15" max="15" width="23.42578125" hidden="1" customWidth="1"/>
    <col min="16" max="17" width="3.7109375" hidden="1" customWidth="1"/>
    <col min="18" max="18" width="3.7109375" customWidth="1"/>
    <col min="19" max="19" width="12.7109375" customWidth="1"/>
    <col min="20" max="20" width="32" customWidth="1"/>
    <col min="21" max="21" width="0.140625" customWidth="1"/>
    <col min="22" max="25" width="21.7109375" hidden="1" customWidth="1"/>
    <col min="26" max="26" width="11.7109375" hidden="1" customWidth="1"/>
    <col min="27" max="27" width="3.7109375" hidden="1" customWidth="1"/>
    <col min="28" max="28" width="11.7109375" hidden="1" customWidth="1"/>
    <col min="29" max="29" width="8.5703125" hidden="1" customWidth="1"/>
    <col min="30" max="32" width="3.7109375" customWidth="1"/>
    <col min="33" max="33" width="24.7109375" customWidth="1"/>
    <col min="34" max="36" width="3.7109375" customWidth="1"/>
    <col min="37" max="37" width="24.7109375" customWidth="1"/>
    <col min="38" max="40" width="3.7109375" customWidth="1"/>
    <col min="41" max="41" width="18.85546875" customWidth="1"/>
    <col min="42" max="44" width="3.7109375" customWidth="1"/>
    <col min="45" max="45" width="18.85546875" customWidth="1"/>
    <col min="46" max="49" width="21.7109375" customWidth="1"/>
    <col min="50" max="50" width="11.7109375" customWidth="1"/>
    <col min="51" max="51" width="3.7109375" customWidth="1"/>
    <col min="52" max="52" width="11.7109375" customWidth="1"/>
    <col min="53" max="53" width="8.5703125" hidden="1" customWidth="1"/>
    <col min="54" max="54" width="4.7109375" customWidth="1"/>
    <col min="55" max="55" width="115.7109375" customWidth="1"/>
    <col min="58" max="58" width="11.140625" customWidth="1"/>
  </cols>
  <sheetData>
    <row r="1" spans="5:58" ht="14.25" hidden="1" customHeight="1" x14ac:dyDescent="0.15"/>
    <row r="2" spans="5:58" ht="21" hidden="1" customHeight="1" x14ac:dyDescent="0.15">
      <c r="E2" s="6">
        <v>1</v>
      </c>
      <c r="S2" t="e">
        <f>INDEX(PT_DIFFERENTIATION_NUM_NTAR,MATCH(A2,PT_DIFFERENTIATION_NTAR_ID,0))</f>
        <v>#N/A</v>
      </c>
      <c r="T2" t="s">
        <v>431</v>
      </c>
      <c r="V2" s="6"/>
      <c r="W2" s="6"/>
      <c r="X2" s="6"/>
      <c r="Y2" s="6"/>
      <c r="Z2" s="6"/>
      <c r="AA2" s="6"/>
      <c r="AB2" s="6"/>
      <c r="AC2" s="6"/>
      <c r="AD2" s="6" t="e">
        <f>INDEX(PT_DIFFERENTIATION_NTAR,MATCH(A2,PT_DIFFERENTIATION_NTAR_ID,0))</f>
        <v>#N/A</v>
      </c>
      <c r="AE2" s="6"/>
      <c r="AF2" s="6"/>
      <c r="AG2" s="6"/>
      <c r="AH2" s="6"/>
      <c r="AI2" s="6"/>
      <c r="AJ2" s="6"/>
      <c r="AK2" s="6"/>
      <c r="AL2" s="6"/>
      <c r="AM2" s="6"/>
      <c r="AN2" s="6"/>
      <c r="AO2" s="6"/>
      <c r="AP2" s="6"/>
      <c r="AQ2" s="6"/>
      <c r="AR2" s="6"/>
      <c r="AS2" s="6"/>
      <c r="AT2" s="6"/>
      <c r="AU2" s="6"/>
      <c r="AV2" s="6"/>
      <c r="AW2" s="6"/>
      <c r="AX2" s="6"/>
      <c r="AY2" s="6"/>
      <c r="AZ2" s="6"/>
      <c r="BA2" s="6"/>
      <c r="BB2" s="6"/>
      <c r="BC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t="str">
        <f t="shared" ref="BF2:BF8" si="0">IF(T2="","",T2)</f>
        <v>Наименование тарифа</v>
      </c>
    </row>
    <row r="3" spans="5:58" ht="21" hidden="1" customHeight="1" x14ac:dyDescent="0.15">
      <c r="E3" s="6"/>
      <c r="F3" s="6">
        <v>1</v>
      </c>
      <c r="S3" t="e">
        <f>INDEX(PT_DIFFERENTIATION_NUM_TER,MATCH(B3,PT_DIFFERENTIATION_TER_ID,0))</f>
        <v>#N/A</v>
      </c>
      <c r="T3" t="s">
        <v>1721</v>
      </c>
      <c r="V3" s="6"/>
      <c r="W3" s="6"/>
      <c r="X3" s="6"/>
      <c r="Y3" s="6"/>
      <c r="Z3" s="6"/>
      <c r="AA3" s="6"/>
      <c r="AB3" s="6"/>
      <c r="AC3" s="6"/>
      <c r="AD3" s="6" t="e">
        <f>INDEX(PT_DIFFERENTIATION_TER,MATCH(B3,PT_DIFFERENTIATION_TER_ID,0))</f>
        <v>#N/A</v>
      </c>
      <c r="AE3" s="6"/>
      <c r="AF3" s="6"/>
      <c r="AG3" s="6"/>
      <c r="AH3" s="6"/>
      <c r="AI3" s="6"/>
      <c r="AJ3" s="6"/>
      <c r="AK3" s="6"/>
      <c r="AL3" s="6"/>
      <c r="AM3" s="6"/>
      <c r="AN3" s="6"/>
      <c r="AO3" s="6"/>
      <c r="AP3" s="6"/>
      <c r="AQ3" s="6"/>
      <c r="AR3" s="6"/>
      <c r="AS3" s="6"/>
      <c r="AT3" s="6"/>
      <c r="AU3" s="6"/>
      <c r="AV3" s="6"/>
      <c r="AW3" s="6"/>
      <c r="AX3" s="6"/>
      <c r="AY3" s="6"/>
      <c r="AZ3" s="6"/>
      <c r="BA3" s="6"/>
      <c r="BB3" s="6"/>
      <c r="BC3" t="s">
        <v>1722</v>
      </c>
      <c r="BF3" t="str">
        <f t="shared" si="0"/>
        <v>Территория действия тарифа</v>
      </c>
    </row>
    <row r="4" spans="5:58" ht="33.75" hidden="1" customHeight="1" x14ac:dyDescent="0.15">
      <c r="E4" s="6"/>
      <c r="F4" s="6"/>
      <c r="G4" s="6">
        <v>1</v>
      </c>
      <c r="S4" t="e">
        <f>INDEX(PT_DIFFERENTIATION_NUM_CS,MATCH(C4,PT_DIFFERENTIATION_CS_ID,0))</f>
        <v>#N/A</v>
      </c>
      <c r="T4" t="s">
        <v>3536</v>
      </c>
      <c r="V4" s="6"/>
      <c r="W4" s="6"/>
      <c r="X4" s="6"/>
      <c r="Y4" s="6"/>
      <c r="Z4" s="6"/>
      <c r="AA4" s="6"/>
      <c r="AB4" s="6"/>
      <c r="AC4" s="6"/>
      <c r="AD4" s="6" t="e">
        <f>INDEX(PT_DIFFERENTIATION_CS,MATCH(C4,PT_DIFFERENTIATION_CS_ID,0))</f>
        <v>#N/A</v>
      </c>
      <c r="AE4" s="6"/>
      <c r="AF4" s="6"/>
      <c r="AG4" s="6"/>
      <c r="AH4" s="6"/>
      <c r="AI4" s="6"/>
      <c r="AJ4" s="6"/>
      <c r="AK4" s="6"/>
      <c r="AL4" s="6"/>
      <c r="AM4" s="6"/>
      <c r="AN4" s="6"/>
      <c r="AO4" s="6"/>
      <c r="AP4" s="6"/>
      <c r="AQ4" s="6"/>
      <c r="AR4" s="6"/>
      <c r="AS4" s="6"/>
      <c r="AT4" s="6"/>
      <c r="AU4" s="6"/>
      <c r="AV4" s="6"/>
      <c r="AW4" s="6"/>
      <c r="AX4" s="6"/>
      <c r="AY4" s="6"/>
      <c r="AZ4" s="6"/>
      <c r="BA4" s="6"/>
      <c r="BB4" s="6"/>
      <c r="BC4" t="s">
        <v>3537</v>
      </c>
      <c r="BF4" t="str">
        <f t="shared" si="0"/>
        <v>Наименование централизованной системы водоотведения</v>
      </c>
    </row>
    <row r="5" spans="5:58" ht="14.25" hidden="1" customHeight="1" x14ac:dyDescent="0.15">
      <c r="E5" s="6"/>
      <c r="F5" s="6"/>
      <c r="G5" s="6"/>
      <c r="H5" s="6">
        <v>1</v>
      </c>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t="s">
        <v>1726</v>
      </c>
      <c r="BF5" t="str">
        <f t="shared" si="0"/>
        <v/>
      </c>
    </row>
    <row r="6" spans="5:58" ht="14.25" hidden="1" customHeight="1" x14ac:dyDescent="0.15">
      <c r="E6" s="6"/>
      <c r="F6" s="6"/>
      <c r="G6" s="6"/>
      <c r="H6" s="6"/>
      <c r="I6" s="6" t="str">
        <f>S5&amp;".1"</f>
        <v>.1</v>
      </c>
      <c r="L6" t="s">
        <v>1727</v>
      </c>
      <c r="P6" s="6">
        <v>1</v>
      </c>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F6" t="str">
        <f t="shared" si="0"/>
        <v/>
      </c>
    </row>
    <row r="7" spans="5:58" ht="14.25" hidden="1" customHeight="1" x14ac:dyDescent="0.15">
      <c r="E7" s="6"/>
      <c r="F7" s="6"/>
      <c r="G7" s="6"/>
      <c r="H7" s="6"/>
      <c r="I7" s="6"/>
      <c r="J7" s="6" t="str">
        <f>S5&amp;".1"</f>
        <v>.1</v>
      </c>
      <c r="P7" s="6"/>
      <c r="Q7" s="6">
        <v>1</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F7" t="str">
        <f t="shared" si="0"/>
        <v/>
      </c>
    </row>
    <row r="8" spans="5:58" ht="11.25" hidden="1" customHeight="1" x14ac:dyDescent="0.15">
      <c r="E8" s="6"/>
      <c r="F8" s="6"/>
      <c r="G8" s="6"/>
      <c r="H8" s="6"/>
      <c r="I8" s="6"/>
      <c r="J8" s="6"/>
      <c r="K8" s="6" t="e">
        <f>S4&amp;".1"</f>
        <v>#N/A</v>
      </c>
      <c r="P8" s="6"/>
      <c r="Q8" s="6"/>
      <c r="R8" s="6">
        <v>1</v>
      </c>
      <c r="S8" s="6" t="e">
        <f>$K8</f>
        <v>#N/A</v>
      </c>
      <c r="T8" s="6"/>
      <c r="AA8" t="s">
        <v>50</v>
      </c>
      <c r="AC8" t="s">
        <v>50</v>
      </c>
      <c r="AD8" s="6" t="s">
        <v>50</v>
      </c>
      <c r="AE8" s="6"/>
      <c r="AF8" s="6">
        <v>1</v>
      </c>
      <c r="AG8" s="6"/>
      <c r="AH8" s="6" t="s">
        <v>50</v>
      </c>
      <c r="AI8" s="6"/>
      <c r="AJ8" s="6">
        <v>1</v>
      </c>
      <c r="AK8" s="6" t="s">
        <v>4</v>
      </c>
      <c r="AL8" s="6" t="s">
        <v>50</v>
      </c>
      <c r="AM8" s="6"/>
      <c r="AN8" s="6">
        <v>1</v>
      </c>
      <c r="AO8" s="6"/>
      <c r="AP8" s="6" t="s">
        <v>50</v>
      </c>
      <c r="AR8">
        <v>1</v>
      </c>
      <c r="AS8" t="s">
        <v>4</v>
      </c>
      <c r="AY8" t="s">
        <v>50</v>
      </c>
      <c r="BA8" t="s">
        <v>50</v>
      </c>
      <c r="BC8" s="6" t="s">
        <v>1956</v>
      </c>
      <c r="BF8" t="str">
        <f t="shared" si="0"/>
        <v/>
      </c>
    </row>
    <row r="9" spans="5:58" ht="11.25" hidden="1" customHeight="1" x14ac:dyDescent="0.15">
      <c r="E9" s="6"/>
      <c r="F9" s="6"/>
      <c r="G9" s="6"/>
      <c r="H9" s="6"/>
      <c r="I9" s="6"/>
      <c r="J9" s="6"/>
      <c r="K9" s="6"/>
      <c r="P9" s="6"/>
      <c r="Q9" s="6"/>
      <c r="R9" s="6"/>
      <c r="S9" s="6"/>
      <c r="T9" s="6"/>
      <c r="AD9" s="6"/>
      <c r="AE9" s="6"/>
      <c r="AF9" s="6"/>
      <c r="AG9" s="6"/>
      <c r="AH9" s="6"/>
      <c r="AI9" s="6"/>
      <c r="AJ9" s="6"/>
      <c r="AK9" s="6"/>
      <c r="AL9" s="6"/>
      <c r="AM9" s="6"/>
      <c r="AN9" s="6"/>
      <c r="AO9" s="6"/>
      <c r="AP9" s="6"/>
      <c r="AS9" t="s">
        <v>1957</v>
      </c>
      <c r="BC9" s="6"/>
    </row>
    <row r="10" spans="5:58" ht="11.25" hidden="1" customHeight="1" x14ac:dyDescent="0.15">
      <c r="E10" s="6"/>
      <c r="F10" s="6"/>
      <c r="G10" s="6"/>
      <c r="H10" s="6"/>
      <c r="I10" s="6"/>
      <c r="J10" s="6"/>
      <c r="K10" s="6"/>
      <c r="P10" s="6"/>
      <c r="Q10" s="6"/>
      <c r="R10" s="6"/>
      <c r="S10" s="6"/>
      <c r="T10" s="6"/>
      <c r="AD10" s="6"/>
      <c r="AE10" s="6"/>
      <c r="AF10" s="6"/>
      <c r="AG10" s="6"/>
      <c r="AH10" s="6"/>
      <c r="AI10" s="6"/>
      <c r="AJ10" s="6"/>
      <c r="AK10" s="6"/>
      <c r="AL10" s="6"/>
      <c r="AO10" t="s">
        <v>3544</v>
      </c>
      <c r="BC10" s="6"/>
    </row>
    <row r="11" spans="5:58" ht="11.25" hidden="1" customHeight="1" x14ac:dyDescent="0.15">
      <c r="E11" s="6"/>
      <c r="F11" s="6"/>
      <c r="G11" s="6"/>
      <c r="H11" s="6"/>
      <c r="I11" s="6"/>
      <c r="J11" s="6"/>
      <c r="K11" s="6"/>
      <c r="P11" s="6"/>
      <c r="Q11" s="6"/>
      <c r="R11" s="6"/>
      <c r="S11" s="6"/>
      <c r="T11" s="6"/>
      <c r="AD11" s="6"/>
      <c r="AE11" s="6"/>
      <c r="AF11" s="6"/>
      <c r="AG11" s="6"/>
      <c r="AH11" s="6"/>
      <c r="AK11" t="s">
        <v>3545</v>
      </c>
      <c r="BC11" s="6"/>
    </row>
    <row r="12" spans="5:58" ht="11.25" hidden="1" customHeight="1" x14ac:dyDescent="0.15">
      <c r="E12" s="6"/>
      <c r="F12" s="6"/>
      <c r="G12" s="6"/>
      <c r="H12" s="6"/>
      <c r="I12" s="6"/>
      <c r="J12" s="6"/>
      <c r="K12" s="6"/>
      <c r="P12" s="6"/>
      <c r="Q12" s="6"/>
      <c r="R12" s="6"/>
      <c r="S12" s="6"/>
      <c r="T12" s="6"/>
      <c r="W12" t="str">
        <f>Z8&amp;"-"&amp;AB8</f>
        <v>-</v>
      </c>
      <c r="Y12" t="str">
        <f>AB8&amp;"-"&amp;AD8</f>
        <v>-да</v>
      </c>
      <c r="AD12" s="6"/>
      <c r="AG12" t="s">
        <v>1960</v>
      </c>
      <c r="AU12" t="str">
        <f>AX8&amp;"-"&amp;AZ8</f>
        <v>-</v>
      </c>
      <c r="AW12" t="str">
        <f>AZ8&amp;"-"&amp;BB8</f>
        <v>-</v>
      </c>
      <c r="BB12" t="str">
        <f>BE8&amp;"-"&amp;BG8</f>
        <v>-</v>
      </c>
      <c r="BC12" s="6"/>
      <c r="BF12" t="str">
        <f t="shared" ref="BF12:BF18" si="1">IF(T12="","",T12)</f>
        <v/>
      </c>
    </row>
    <row r="13" spans="5:58" ht="11.25" hidden="1" customHeight="1" x14ac:dyDescent="0.15">
      <c r="E13" s="6"/>
      <c r="F13" s="6"/>
      <c r="G13" s="6"/>
      <c r="H13" s="6"/>
      <c r="I13" s="6"/>
      <c r="J13" s="6"/>
      <c r="P13" s="6"/>
      <c r="Q13" s="6"/>
      <c r="T13" t="s">
        <v>1801</v>
      </c>
      <c r="BC13" s="6"/>
      <c r="BF13" t="str">
        <f t="shared" si="1"/>
        <v>Добавить строку</v>
      </c>
    </row>
    <row r="14" spans="5:58" ht="14.25" hidden="1" customHeight="1" x14ac:dyDescent="0.15">
      <c r="E14" s="6"/>
      <c r="F14" s="6"/>
      <c r="G14" s="6"/>
      <c r="H14" s="6"/>
      <c r="I14" s="6"/>
      <c r="P14" s="6"/>
      <c r="BF14" t="str">
        <f t="shared" si="1"/>
        <v/>
      </c>
    </row>
    <row r="15" spans="5:58" ht="14.25" hidden="1" customHeight="1" x14ac:dyDescent="0.15">
      <c r="E15" s="6"/>
      <c r="F15" s="6"/>
      <c r="G15" s="6"/>
      <c r="H15" s="6"/>
      <c r="BF15" t="str">
        <f t="shared" si="1"/>
        <v/>
      </c>
    </row>
    <row r="16" spans="5:58" ht="14.25" hidden="1" customHeight="1" x14ac:dyDescent="0.15">
      <c r="E16" s="6"/>
      <c r="F16" s="6"/>
      <c r="G16" s="6"/>
      <c r="BF16" t="str">
        <f t="shared" si="1"/>
        <v/>
      </c>
    </row>
    <row r="17" spans="5:58" ht="14.25" hidden="1" customHeight="1" x14ac:dyDescent="0.15">
      <c r="E17" s="6"/>
      <c r="F17" s="6"/>
      <c r="T17" t="s">
        <v>1697</v>
      </c>
      <c r="BF17" t="str">
        <f t="shared" si="1"/>
        <v>Добавить централизованную систему для дифференциации</v>
      </c>
    </row>
    <row r="18" spans="5:58" ht="14.25" hidden="1" customHeight="1" x14ac:dyDescent="0.15">
      <c r="E18" s="6"/>
      <c r="T18" t="s">
        <v>1698</v>
      </c>
      <c r="BF18" t="str">
        <f t="shared" si="1"/>
        <v>Добавить территорию для дифференциации</v>
      </c>
    </row>
    <row r="19" spans="5:58" ht="14.25" hidden="1" customHeight="1" x14ac:dyDescent="0.15"/>
    <row r="20" spans="5:58" ht="14.25" hidden="1" customHeight="1" x14ac:dyDescent="0.15">
      <c r="AD20" t="s">
        <v>43</v>
      </c>
      <c r="AF20">
        <v>1</v>
      </c>
      <c r="AH20" t="s">
        <v>43</v>
      </c>
      <c r="AJ20">
        <v>1</v>
      </c>
      <c r="AL20" t="s">
        <v>43</v>
      </c>
      <c r="AN20">
        <v>1</v>
      </c>
      <c r="AP20" t="s">
        <v>43</v>
      </c>
      <c r="AR20">
        <v>1</v>
      </c>
      <c r="AY20" t="s">
        <v>50</v>
      </c>
      <c r="BA20" t="s">
        <v>50</v>
      </c>
    </row>
    <row r="21" spans="5:58" ht="14.25" hidden="1" customHeight="1" x14ac:dyDescent="0.15"/>
    <row r="22" spans="5:58" ht="14.25" hidden="1" customHeight="1" x14ac:dyDescent="0.15">
      <c r="O22" t="s">
        <v>1738</v>
      </c>
    </row>
    <row r="23" spans="5:58" ht="14.25" hidden="1" customHeight="1" x14ac:dyDescent="0.15"/>
    <row r="24" spans="5:58" ht="14.25" hidden="1" customHeight="1" x14ac:dyDescent="0.15">
      <c r="O24" t="s">
        <v>1739</v>
      </c>
      <c r="AA24" t="s">
        <v>1741</v>
      </c>
      <c r="AC24" t="s">
        <v>1742</v>
      </c>
      <c r="AD24" t="s">
        <v>1802</v>
      </c>
      <c r="AH24" t="s">
        <v>1802</v>
      </c>
      <c r="AK24" t="s">
        <v>1961</v>
      </c>
      <c r="AL24" t="s">
        <v>1802</v>
      </c>
      <c r="AP24" t="s">
        <v>1802</v>
      </c>
      <c r="AY24" t="s">
        <v>1741</v>
      </c>
      <c r="BA24" t="s">
        <v>1742</v>
      </c>
    </row>
    <row r="25" spans="5:58" ht="14.25" hidden="1" customHeight="1" x14ac:dyDescent="0.15"/>
    <row r="26" spans="5:58" ht="14.25" hidden="1" customHeight="1" x14ac:dyDescent="0.15"/>
    <row r="28" spans="5:58" ht="33.75" customHeight="1" x14ac:dyDescent="0.15">
      <c r="S28" s="6"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row>
    <row r="29" spans="5:58" ht="14.25" customHeight="1" x14ac:dyDescent="0.15">
      <c r="S29" s="6" t="str">
        <f>IF(org=0,"Не определено",org)</f>
        <v>КГУП "Примтеплоэнерго"</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row>
    <row r="30" spans="5:58" ht="14.25" hidden="1" customHeight="1" x14ac:dyDescent="0.15"/>
    <row r="31" spans="5:58" ht="25.5" hidden="1" customHeight="1" x14ac:dyDescent="0.15">
      <c r="S31" s="6" t="s">
        <v>25</v>
      </c>
      <c r="T31" s="6"/>
      <c r="V31" s="6"/>
      <c r="W31" s="6"/>
      <c r="X31" s="6"/>
      <c r="Y31" s="6"/>
      <c r="Z31" s="6"/>
      <c r="AA31" s="6"/>
      <c r="AB31" s="6"/>
      <c r="AD31" s="6" t="str">
        <f>IF(TITLE_NAME_OR_PR_CHANGE="",IF(TITLE_NAME_OR_PR="","",TITLE_NAME_OR_PR),TITLE_NAME_OR_PR_CHANGE)</f>
        <v/>
      </c>
      <c r="AE31" s="6"/>
      <c r="AF31" s="6"/>
      <c r="AG31" s="6"/>
      <c r="AH31" s="6"/>
      <c r="AI31" s="6"/>
      <c r="AJ31" s="6"/>
      <c r="AK31" s="6"/>
      <c r="AL31" s="6"/>
      <c r="AM31" s="6"/>
      <c r="AN31" s="6"/>
      <c r="AO31" s="6"/>
      <c r="AP31" s="6"/>
      <c r="AQ31" s="6"/>
      <c r="AR31" s="6"/>
      <c r="AS31" s="6"/>
      <c r="AT31" s="6"/>
      <c r="AU31" s="6"/>
      <c r="AV31" s="6"/>
      <c r="AW31" s="6"/>
      <c r="AX31" s="6"/>
      <c r="AY31" s="6"/>
      <c r="AZ31" s="6"/>
    </row>
    <row r="32" spans="5:58" ht="18.75" hidden="1" customHeight="1" x14ac:dyDescent="0.15">
      <c r="S32" s="6" t="s">
        <v>1744</v>
      </c>
      <c r="T32" s="6"/>
      <c r="V32" s="6"/>
      <c r="W32" s="6"/>
      <c r="X32" s="6"/>
      <c r="Y32" s="6"/>
      <c r="Z32" s="6"/>
      <c r="AA32" s="6"/>
      <c r="AB32" s="6"/>
      <c r="AD32" s="6" t="str">
        <f>IF(TITLE_DATE_CHANGE_PERIOD="",IF(TITLE_DATE_PR="","",TITLE_DATE_PR),TITLE_DATE_CHANGE_PERIOD)</f>
        <v/>
      </c>
      <c r="AE32" s="6"/>
      <c r="AF32" s="6"/>
      <c r="AG32" s="6"/>
      <c r="AH32" s="6"/>
      <c r="AI32" s="6"/>
      <c r="AJ32" s="6"/>
      <c r="AK32" s="6"/>
      <c r="AL32" s="6"/>
      <c r="AM32" s="6"/>
      <c r="AN32" s="6"/>
      <c r="AO32" s="6"/>
      <c r="AP32" s="6"/>
      <c r="AQ32" s="6"/>
      <c r="AR32" s="6"/>
      <c r="AS32" s="6"/>
      <c r="AT32" s="6"/>
      <c r="AU32" s="6"/>
      <c r="AV32" s="6"/>
      <c r="AW32" s="6"/>
      <c r="AX32" s="6"/>
      <c r="AY32" s="6"/>
      <c r="AZ32" s="6"/>
    </row>
    <row r="33" spans="1:58" ht="18.75" hidden="1" customHeight="1" x14ac:dyDescent="0.15">
      <c r="S33" s="6" t="s">
        <v>1745</v>
      </c>
      <c r="T33" s="6"/>
      <c r="V33" s="6"/>
      <c r="W33" s="6"/>
      <c r="X33" s="6"/>
      <c r="Y33" s="6"/>
      <c r="Z33" s="6"/>
      <c r="AA33" s="6"/>
      <c r="AB33" s="6"/>
      <c r="AD33" s="6" t="str">
        <f>IF(TITLE_NUMBER_PR_CHANGE="",IF(TITLE_NUMBER_PR="","",TITLE_NUMBER_PR),TITLE_NUMBER_PR_CHANGE)</f>
        <v/>
      </c>
      <c r="AE33" s="6"/>
      <c r="AF33" s="6"/>
      <c r="AG33" s="6"/>
      <c r="AH33" s="6"/>
      <c r="AI33" s="6"/>
      <c r="AJ33" s="6"/>
      <c r="AK33" s="6"/>
      <c r="AL33" s="6"/>
      <c r="AM33" s="6"/>
      <c r="AN33" s="6"/>
      <c r="AO33" s="6"/>
      <c r="AP33" s="6"/>
      <c r="AQ33" s="6"/>
      <c r="AR33" s="6"/>
      <c r="AS33" s="6"/>
      <c r="AT33" s="6"/>
      <c r="AU33" s="6"/>
      <c r="AV33" s="6"/>
      <c r="AW33" s="6"/>
      <c r="AX33" s="6"/>
      <c r="AY33" s="6"/>
      <c r="AZ33" s="6"/>
    </row>
    <row r="34" spans="1:58" ht="18.75" hidden="1" customHeight="1" x14ac:dyDescent="0.15">
      <c r="S34" s="6" t="s">
        <v>26</v>
      </c>
      <c r="T34" s="6"/>
      <c r="V34" s="6"/>
      <c r="W34" s="6"/>
      <c r="X34" s="6"/>
      <c r="Y34" s="6"/>
      <c r="Z34" s="6"/>
      <c r="AA34" s="6"/>
      <c r="AB34" s="6"/>
      <c r="AD34" s="6" t="str">
        <f>IF(TITLE_IST_PUB_CHANGE="",IF(TITLE_IST_PUB="","",TITLE_IST_PUB),TITLE_IST_PUB_CHANGE)</f>
        <v/>
      </c>
      <c r="AE34" s="6"/>
      <c r="AF34" s="6"/>
      <c r="AG34" s="6"/>
      <c r="AH34" s="6"/>
      <c r="AI34" s="6"/>
      <c r="AJ34" s="6"/>
      <c r="AK34" s="6"/>
      <c r="AL34" s="6"/>
      <c r="AM34" s="6"/>
      <c r="AN34" s="6"/>
      <c r="AO34" s="6"/>
      <c r="AP34" s="6"/>
      <c r="AQ34" s="6"/>
      <c r="AR34" s="6"/>
      <c r="AS34" s="6"/>
      <c r="AT34" s="6"/>
      <c r="AU34" s="6"/>
      <c r="AV34" s="6"/>
      <c r="AW34" s="6"/>
      <c r="AX34" s="6"/>
      <c r="AY34" s="6"/>
      <c r="AZ34" s="6"/>
    </row>
    <row r="35" spans="1:58" ht="14.25" hidden="1" customHeight="1" x14ac:dyDescent="0.15"/>
    <row r="36" spans="1:58" ht="18.75" hidden="1" customHeight="1" x14ac:dyDescent="0.15">
      <c r="S36" s="6" t="s">
        <v>1744</v>
      </c>
      <c r="T36" s="6"/>
      <c r="V36" s="6"/>
      <c r="W36" s="6"/>
      <c r="X36" s="6"/>
      <c r="Y36" s="6"/>
      <c r="Z36" s="6"/>
      <c r="AA36" s="6"/>
      <c r="AB36" s="6"/>
      <c r="AD36" s="6" t="str">
        <f>IF(TITLE_DATE_CHANGE_PERIOD="",IF(TITLE_DATE_PR="","",TITLE_DATE_PR),TITLE_DATE_CHANGE_PERIOD)</f>
        <v/>
      </c>
      <c r="AE36" s="6"/>
      <c r="AF36" s="6"/>
      <c r="AG36" s="6"/>
      <c r="AH36" s="6"/>
      <c r="AI36" s="6"/>
      <c r="AJ36" s="6"/>
      <c r="AK36" s="6"/>
      <c r="AL36" s="6"/>
      <c r="AM36" s="6"/>
      <c r="AN36" s="6"/>
      <c r="AO36" s="6"/>
      <c r="AP36" s="6"/>
      <c r="AQ36" s="6"/>
      <c r="AR36" s="6"/>
      <c r="AS36" s="6"/>
      <c r="AT36" s="6"/>
      <c r="AU36" s="6"/>
      <c r="AV36" s="6"/>
      <c r="AW36" s="6"/>
      <c r="AX36" s="6"/>
      <c r="AY36" s="6"/>
      <c r="AZ36" s="6"/>
    </row>
    <row r="37" spans="1:58" ht="18.75" hidden="1" customHeight="1" x14ac:dyDescent="0.15">
      <c r="S37" s="6" t="s">
        <v>1745</v>
      </c>
      <c r="T37" s="6"/>
      <c r="V37" s="6"/>
      <c r="W37" s="6"/>
      <c r="X37" s="6"/>
      <c r="Y37" s="6"/>
      <c r="Z37" s="6"/>
      <c r="AA37" s="6"/>
      <c r="AB37" s="6"/>
      <c r="AD37" s="6" t="str">
        <f>IF(TITLE_NUMBER_PR_CHANGE="",IF(TITLE_NUMBER_PR="","",TITLE_NUMBER_PR),TITLE_NUMBER_PR_CHANGE)</f>
        <v/>
      </c>
      <c r="AE37" s="6"/>
      <c r="AF37" s="6"/>
      <c r="AG37" s="6"/>
      <c r="AH37" s="6"/>
      <c r="AI37" s="6"/>
      <c r="AJ37" s="6"/>
      <c r="AK37" s="6"/>
      <c r="AL37" s="6"/>
      <c r="AM37" s="6"/>
      <c r="AN37" s="6"/>
      <c r="AO37" s="6"/>
      <c r="AP37" s="6"/>
      <c r="AQ37" s="6"/>
      <c r="AR37" s="6"/>
      <c r="AS37" s="6"/>
      <c r="AT37" s="6"/>
      <c r="AU37" s="6"/>
      <c r="AV37" s="6"/>
      <c r="AW37" s="6"/>
      <c r="AX37" s="6"/>
      <c r="AY37" s="6"/>
      <c r="AZ37" s="6"/>
    </row>
    <row r="38" spans="1:58" ht="0" hidden="1" customHeight="1" x14ac:dyDescent="0.15">
      <c r="AC38" t="s">
        <v>1748</v>
      </c>
      <c r="BA38" t="s">
        <v>1748</v>
      </c>
    </row>
    <row r="39" spans="1:58" ht="14.25" customHeight="1" x14ac:dyDescent="0.15">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8" ht="14.25" customHeight="1" x14ac:dyDescent="0.15">
      <c r="S40" s="6" t="s">
        <v>593</v>
      </c>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t="s">
        <v>594</v>
      </c>
    </row>
    <row r="41" spans="1:58" ht="14.25" customHeight="1" x14ac:dyDescent="0.15">
      <c r="S41" s="6" t="s">
        <v>75</v>
      </c>
      <c r="T41" s="6" t="s">
        <v>1962</v>
      </c>
      <c r="V41" s="6" t="s">
        <v>1750</v>
      </c>
      <c r="W41" s="6"/>
      <c r="X41" s="6"/>
      <c r="Y41" s="6"/>
      <c r="Z41" s="6"/>
      <c r="AA41" s="6"/>
      <c r="AB41" s="6"/>
      <c r="AC41" s="6" t="s">
        <v>1751</v>
      </c>
      <c r="AD41" s="6" t="s">
        <v>3546</v>
      </c>
      <c r="AE41" s="6"/>
      <c r="AF41" s="6"/>
      <c r="AG41" s="6"/>
      <c r="AH41" s="6" t="s">
        <v>3547</v>
      </c>
      <c r="AI41" s="6"/>
      <c r="AJ41" s="6"/>
      <c r="AK41" s="6"/>
      <c r="AL41" s="6" t="s">
        <v>3548</v>
      </c>
      <c r="AM41" s="6"/>
      <c r="AN41" s="6"/>
      <c r="AO41" s="6"/>
      <c r="AP41" s="6" t="s">
        <v>1966</v>
      </c>
      <c r="AQ41" s="6"/>
      <c r="AR41" s="6"/>
      <c r="AS41" s="6"/>
      <c r="AT41" s="6" t="s">
        <v>1750</v>
      </c>
      <c r="AU41" s="6"/>
      <c r="AV41" s="6"/>
      <c r="AW41" s="6"/>
      <c r="AX41" s="6"/>
      <c r="AY41" s="6"/>
      <c r="AZ41" s="6"/>
      <c r="BA41" s="6" t="s">
        <v>1751</v>
      </c>
      <c r="BB41" s="6" t="s">
        <v>1753</v>
      </c>
      <c r="BC41" s="6"/>
    </row>
    <row r="42" spans="1:58" ht="33.75" customHeight="1" x14ac:dyDescent="0.15">
      <c r="S42" s="6"/>
      <c r="T42" s="6"/>
      <c r="V42" s="6" t="s">
        <v>1967</v>
      </c>
      <c r="W42" s="6"/>
      <c r="X42" s="6" t="s">
        <v>1968</v>
      </c>
      <c r="Y42" s="6"/>
      <c r="Z42" s="6" t="s">
        <v>1969</v>
      </c>
      <c r="AA42" s="6"/>
      <c r="AB42" s="6"/>
      <c r="AC42" s="6"/>
      <c r="AD42" s="6"/>
      <c r="AE42" s="6"/>
      <c r="AF42" s="6"/>
      <c r="AG42" s="6"/>
      <c r="AH42" s="6"/>
      <c r="AI42" s="6"/>
      <c r="AJ42" s="6"/>
      <c r="AK42" s="6"/>
      <c r="AL42" s="6"/>
      <c r="AM42" s="6"/>
      <c r="AN42" s="6"/>
      <c r="AO42" s="6"/>
      <c r="AP42" s="6"/>
      <c r="AQ42" s="6"/>
      <c r="AR42" s="6"/>
      <c r="AS42" s="6"/>
      <c r="AT42" s="6" t="s">
        <v>3549</v>
      </c>
      <c r="AU42" s="6"/>
      <c r="AV42" s="6" t="s">
        <v>3550</v>
      </c>
      <c r="AW42" s="6"/>
      <c r="AX42" s="6" t="s">
        <v>1969</v>
      </c>
      <c r="AY42" s="6"/>
      <c r="AZ42" s="6"/>
      <c r="BA42" s="6"/>
      <c r="BB42" s="6"/>
      <c r="BC42" s="6"/>
    </row>
    <row r="43" spans="1:58" ht="14.25" customHeight="1" x14ac:dyDescent="0.15">
      <c r="S43" s="6"/>
      <c r="T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row>
    <row r="44" spans="1:58" ht="14.25" customHeight="1" x14ac:dyDescent="0.15">
      <c r="B44" t="s">
        <v>443</v>
      </c>
      <c r="C44" t="s">
        <v>444</v>
      </c>
      <c r="D44" t="s">
        <v>445</v>
      </c>
      <c r="E44" t="s">
        <v>1758</v>
      </c>
      <c r="F44" t="s">
        <v>1759</v>
      </c>
      <c r="G44" t="s">
        <v>1760</v>
      </c>
      <c r="H44" t="s">
        <v>1761</v>
      </c>
      <c r="I44" t="s">
        <v>1762</v>
      </c>
      <c r="J44" t="s">
        <v>1763</v>
      </c>
      <c r="K44" t="s">
        <v>1764</v>
      </c>
      <c r="L44" t="s">
        <v>1739</v>
      </c>
      <c r="S44" s="6"/>
      <c r="T44" s="6"/>
      <c r="V44" t="s">
        <v>1810</v>
      </c>
      <c r="W44" t="s">
        <v>1811</v>
      </c>
      <c r="X44" t="s">
        <v>1810</v>
      </c>
      <c r="Y44" t="s">
        <v>1811</v>
      </c>
      <c r="Z44" t="s">
        <v>1767</v>
      </c>
      <c r="AA44" s="6" t="s">
        <v>1768</v>
      </c>
      <c r="AB44" s="6"/>
      <c r="AC44" s="6"/>
      <c r="AD44" s="6"/>
      <c r="AE44" s="6"/>
      <c r="AF44" s="6"/>
      <c r="AG44" s="6"/>
      <c r="AH44" s="6"/>
      <c r="AI44" s="6"/>
      <c r="AJ44" s="6"/>
      <c r="AK44" s="6"/>
      <c r="AL44" s="6"/>
      <c r="AM44" s="6"/>
      <c r="AN44" s="6"/>
      <c r="AO44" s="6"/>
      <c r="AP44" s="6"/>
      <c r="AQ44" s="6"/>
      <c r="AR44" s="6"/>
      <c r="AS44" s="6"/>
      <c r="AT44" t="s">
        <v>1810</v>
      </c>
      <c r="AU44" t="s">
        <v>1811</v>
      </c>
      <c r="AV44" t="s">
        <v>1810</v>
      </c>
      <c r="AW44" t="s">
        <v>1811</v>
      </c>
      <c r="AX44" t="s">
        <v>1767</v>
      </c>
      <c r="AY44" s="6" t="s">
        <v>1768</v>
      </c>
      <c r="AZ44" s="6"/>
      <c r="BA44" s="6"/>
      <c r="BB44" s="6"/>
      <c r="BC44" s="6"/>
    </row>
    <row r="45" spans="1:58" ht="11.25" hidden="1" customHeight="1" x14ac:dyDescent="0.15">
      <c r="R45">
        <v>1</v>
      </c>
      <c r="S45" t="s">
        <v>165</v>
      </c>
      <c r="T45" t="s">
        <v>89</v>
      </c>
      <c r="U45" t="str">
        <f ca="1">OFFSET(U45,0,-1)</f>
        <v>2</v>
      </c>
      <c r="V45">
        <f t="shared" ref="V45:AA45" ca="1" si="2">OFFSET(V45,0,-1)+1</f>
        <v>3</v>
      </c>
      <c r="W45">
        <f t="shared" ca="1" si="2"/>
        <v>4</v>
      </c>
      <c r="X45">
        <f t="shared" ca="1" si="2"/>
        <v>5</v>
      </c>
      <c r="Y45">
        <f t="shared" ca="1" si="2"/>
        <v>6</v>
      </c>
      <c r="Z45">
        <f t="shared" ca="1" si="2"/>
        <v>7</v>
      </c>
      <c r="AA45" s="6">
        <f t="shared" ca="1" si="2"/>
        <v>8</v>
      </c>
      <c r="AB45" s="6"/>
      <c r="AC45">
        <f ca="1">OFFSET(AC45,0,-2)+1</f>
        <v>9</v>
      </c>
      <c r="AD45">
        <f ca="1">OFFSET(AD45,0,-1)+1</f>
        <v>10</v>
      </c>
      <c r="AW45">
        <f ca="1">OFFSET(AW45,0,-1)+1</f>
        <v>1</v>
      </c>
      <c r="AX45">
        <f ca="1">OFFSET(AX45,0,-1)+1</f>
        <v>2</v>
      </c>
      <c r="AY45" s="6">
        <f ca="1">OFFSET(AY45,0,-1)+1</f>
        <v>3</v>
      </c>
      <c r="AZ45" s="6"/>
      <c r="BA45">
        <f ca="1">OFFSET(BA45,0,-2)+1</f>
        <v>4</v>
      </c>
      <c r="BB45">
        <f ca="1">OFFSET(BB45,0,-1)</f>
        <v>4</v>
      </c>
      <c r="BC45">
        <f ca="1">OFFSET(BC45,0,-1)+1</f>
        <v>5</v>
      </c>
    </row>
    <row r="46" spans="1:58" ht="21" customHeight="1" x14ac:dyDescent="0.15">
      <c r="A46" t="s">
        <v>569</v>
      </c>
      <c r="E46" s="6">
        <v>1</v>
      </c>
      <c r="S46">
        <f>INDEX(PT_DIFFERENTIATION_NUM_NTAR,MATCH(A46,PT_DIFFERENTIATION_NTAR_ID,0))</f>
        <v>0</v>
      </c>
      <c r="T46" t="s">
        <v>431</v>
      </c>
      <c r="V46" s="6"/>
      <c r="W46" s="6"/>
      <c r="X46" s="6"/>
      <c r="Y46" s="6"/>
      <c r="Z46" s="6"/>
      <c r="AA46" s="6"/>
      <c r="AB46" s="6"/>
      <c r="AC46" s="6"/>
      <c r="AD46" s="6" t="str">
        <f>INDEX(PT_DIFFERENTIATION_NTAR,MATCH(A46,PT_DIFFERENTIATION_NTAR_ID,0))</f>
        <v/>
      </c>
      <c r="AE46" s="6"/>
      <c r="AF46" s="6"/>
      <c r="AG46" s="6"/>
      <c r="AH46" s="6"/>
      <c r="AI46" s="6"/>
      <c r="AJ46" s="6"/>
      <c r="AK46" s="6"/>
      <c r="AL46" s="6"/>
      <c r="AM46" s="6"/>
      <c r="AN46" s="6"/>
      <c r="AO46" s="6"/>
      <c r="AP46" s="6"/>
      <c r="AQ46" s="6"/>
      <c r="AR46" s="6"/>
      <c r="AS46" s="6"/>
      <c r="AT46" s="6"/>
      <c r="AU46" s="6"/>
      <c r="AV46" s="6"/>
      <c r="AW46" s="6"/>
      <c r="AX46" s="6"/>
      <c r="AY46" s="6"/>
      <c r="AZ46" s="6"/>
      <c r="BA46" s="6"/>
      <c r="BB46" s="6"/>
      <c r="BC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6" t="str">
        <f t="shared" ref="BF46:BF52" si="3">IF(T46="","",T46)</f>
        <v>Наименование тарифа</v>
      </c>
    </row>
    <row r="47" spans="1:58" ht="21" customHeight="1" x14ac:dyDescent="0.15">
      <c r="A47" t="s">
        <v>569</v>
      </c>
      <c r="B47" t="s">
        <v>570</v>
      </c>
      <c r="E47" s="6"/>
      <c r="F47" s="6">
        <v>1</v>
      </c>
      <c r="S47" t="str">
        <f>INDEX(PT_DIFFERENTIATION_NUM_TER,MATCH(B47,PT_DIFFERENTIATION_TER_ID,0))</f>
        <v>.</v>
      </c>
      <c r="T47" t="s">
        <v>1721</v>
      </c>
      <c r="V47" s="6"/>
      <c r="W47" s="6"/>
      <c r="X47" s="6"/>
      <c r="Y47" s="6"/>
      <c r="Z47" s="6"/>
      <c r="AA47" s="6"/>
      <c r="AB47" s="6"/>
      <c r="AC47" s="6"/>
      <c r="AD47" s="6" t="str">
        <f>INDEX(PT_DIFFERENTIATION_TER,MATCH(B47,PT_DIFFERENTIATION_TER_ID,0))</f>
        <v/>
      </c>
      <c r="AE47" s="6"/>
      <c r="AF47" s="6"/>
      <c r="AG47" s="6"/>
      <c r="AH47" s="6"/>
      <c r="AI47" s="6"/>
      <c r="AJ47" s="6"/>
      <c r="AK47" s="6"/>
      <c r="AL47" s="6"/>
      <c r="AM47" s="6"/>
      <c r="AN47" s="6"/>
      <c r="AO47" s="6"/>
      <c r="AP47" s="6"/>
      <c r="AQ47" s="6"/>
      <c r="AR47" s="6"/>
      <c r="AS47" s="6"/>
      <c r="AT47" s="6"/>
      <c r="AU47" s="6"/>
      <c r="AV47" s="6"/>
      <c r="AW47" s="6"/>
      <c r="AX47" s="6"/>
      <c r="AY47" s="6"/>
      <c r="AZ47" s="6"/>
      <c r="BA47" s="6"/>
      <c r="BB47" s="6"/>
      <c r="BC47" t="s">
        <v>1722</v>
      </c>
      <c r="BF47" t="str">
        <f t="shared" si="3"/>
        <v>Территория действия тарифа</v>
      </c>
    </row>
    <row r="48" spans="1:58" ht="33.75" customHeight="1" x14ac:dyDescent="0.15">
      <c r="A48" t="s">
        <v>569</v>
      </c>
      <c r="B48" t="s">
        <v>570</v>
      </c>
      <c r="C48" t="s">
        <v>571</v>
      </c>
      <c r="E48" s="6"/>
      <c r="F48" s="6"/>
      <c r="G48" s="6">
        <v>1</v>
      </c>
      <c r="S48" t="str">
        <f>INDEX(PT_DIFFERENTIATION_NUM_CS,MATCH(C48,PT_DIFFERENTIATION_CS_ID,0))</f>
        <v>..</v>
      </c>
      <c r="T48" t="s">
        <v>3536</v>
      </c>
      <c r="V48" s="6"/>
      <c r="W48" s="6"/>
      <c r="X48" s="6"/>
      <c r="Y48" s="6"/>
      <c r="Z48" s="6"/>
      <c r="AA48" s="6"/>
      <c r="AB48" s="6"/>
      <c r="AC48" s="6"/>
      <c r="AD48" s="6" t="str">
        <f>INDEX(PT_DIFFERENTIATION_CS,MATCH(C48,PT_DIFFERENTIATION_CS_ID,0))</f>
        <v/>
      </c>
      <c r="AE48" s="6"/>
      <c r="AF48" s="6"/>
      <c r="AG48" s="6"/>
      <c r="AH48" s="6"/>
      <c r="AI48" s="6"/>
      <c r="AJ48" s="6"/>
      <c r="AK48" s="6"/>
      <c r="AL48" s="6"/>
      <c r="AM48" s="6"/>
      <c r="AN48" s="6"/>
      <c r="AO48" s="6"/>
      <c r="AP48" s="6"/>
      <c r="AQ48" s="6"/>
      <c r="AR48" s="6"/>
      <c r="AS48" s="6"/>
      <c r="AT48" s="6"/>
      <c r="AU48" s="6"/>
      <c r="AV48" s="6"/>
      <c r="AW48" s="6"/>
      <c r="AX48" s="6"/>
      <c r="AY48" s="6"/>
      <c r="AZ48" s="6"/>
      <c r="BA48" s="6"/>
      <c r="BB48" s="6"/>
      <c r="BC48" t="s">
        <v>3537</v>
      </c>
      <c r="BF48" t="str">
        <f t="shared" si="3"/>
        <v>Наименование централизованной системы водоотведения</v>
      </c>
    </row>
    <row r="49" spans="1:58" ht="0" hidden="1" customHeight="1" x14ac:dyDescent="0.15">
      <c r="A49" t="s">
        <v>569</v>
      </c>
      <c r="B49" t="s">
        <v>570</v>
      </c>
      <c r="C49" t="s">
        <v>571</v>
      </c>
      <c r="D49" t="s">
        <v>3551</v>
      </c>
      <c r="E49" s="6"/>
      <c r="F49" s="6"/>
      <c r="G49" s="6"/>
      <c r="H49" s="6">
        <v>1</v>
      </c>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t="s">
        <v>1726</v>
      </c>
      <c r="BF49" t="str">
        <f t="shared" si="3"/>
        <v/>
      </c>
    </row>
    <row r="50" spans="1:58" ht="0" hidden="1" customHeight="1" x14ac:dyDescent="0.15">
      <c r="A50" t="s">
        <v>569</v>
      </c>
      <c r="B50" t="s">
        <v>570</v>
      </c>
      <c r="C50" t="s">
        <v>571</v>
      </c>
      <c r="D50" t="s">
        <v>3551</v>
      </c>
      <c r="E50" s="6"/>
      <c r="F50" s="6"/>
      <c r="G50" s="6"/>
      <c r="H50" s="6"/>
      <c r="I50" s="6" t="str">
        <f>S49&amp;".1"</f>
        <v>.1</v>
      </c>
      <c r="L50" t="s">
        <v>1727</v>
      </c>
      <c r="P50" s="6">
        <v>1</v>
      </c>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F50" t="str">
        <f t="shared" si="3"/>
        <v/>
      </c>
    </row>
    <row r="51" spans="1:58" ht="0" hidden="1" customHeight="1" x14ac:dyDescent="0.15">
      <c r="A51" t="s">
        <v>569</v>
      </c>
      <c r="B51" t="s">
        <v>570</v>
      </c>
      <c r="C51" t="s">
        <v>571</v>
      </c>
      <c r="D51" t="s">
        <v>3551</v>
      </c>
      <c r="E51" s="6"/>
      <c r="F51" s="6"/>
      <c r="G51" s="6"/>
      <c r="H51" s="6"/>
      <c r="I51" s="6"/>
      <c r="J51" s="6" t="str">
        <f>S49&amp;".1"</f>
        <v>.1</v>
      </c>
      <c r="P51" s="6"/>
      <c r="Q51" s="6">
        <v>1</v>
      </c>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F51" t="str">
        <f t="shared" si="3"/>
        <v/>
      </c>
    </row>
    <row r="52" spans="1:58" ht="11.25" customHeight="1" x14ac:dyDescent="0.15">
      <c r="A52" t="s">
        <v>569</v>
      </c>
      <c r="B52" t="s">
        <v>570</v>
      </c>
      <c r="C52" t="s">
        <v>571</v>
      </c>
      <c r="D52" t="s">
        <v>3551</v>
      </c>
      <c r="E52" s="6"/>
      <c r="F52" s="6"/>
      <c r="G52" s="6"/>
      <c r="H52" s="6"/>
      <c r="I52" s="6"/>
      <c r="J52" s="6"/>
      <c r="K52" s="6" t="str">
        <f>S48&amp;".1"</f>
        <v>...1</v>
      </c>
      <c r="P52" s="6"/>
      <c r="Q52" s="6"/>
      <c r="R52">
        <v>1</v>
      </c>
      <c r="S52" s="6" t="str">
        <f>$K52</f>
        <v>...1</v>
      </c>
      <c r="T52" s="6"/>
      <c r="AA52" t="s">
        <v>50</v>
      </c>
      <c r="AC52" t="s">
        <v>50</v>
      </c>
      <c r="AD52" s="6" t="s">
        <v>50</v>
      </c>
      <c r="AE52" s="6"/>
      <c r="AF52" s="6">
        <v>1</v>
      </c>
      <c r="AG52" s="6"/>
      <c r="AH52" s="6" t="s">
        <v>50</v>
      </c>
      <c r="AI52" s="6"/>
      <c r="AJ52" s="6">
        <v>1</v>
      </c>
      <c r="AK52" s="6" t="s">
        <v>4</v>
      </c>
      <c r="AL52" s="6" t="s">
        <v>50</v>
      </c>
      <c r="AM52" s="6"/>
      <c r="AN52" s="6">
        <v>1</v>
      </c>
      <c r="AO52" s="6"/>
      <c r="AP52" s="6" t="s">
        <v>50</v>
      </c>
      <c r="AR52">
        <v>1</v>
      </c>
      <c r="AS52" t="s">
        <v>4</v>
      </c>
      <c r="AY52" t="s">
        <v>50</v>
      </c>
      <c r="BA52" t="s">
        <v>50</v>
      </c>
      <c r="BC52" s="6" t="s">
        <v>1956</v>
      </c>
      <c r="BF52" t="str">
        <f t="shared" si="3"/>
        <v/>
      </c>
    </row>
    <row r="53" spans="1:58" ht="11.25" customHeight="1" x14ac:dyDescent="0.15">
      <c r="E53" s="6"/>
      <c r="F53" s="6"/>
      <c r="G53" s="6"/>
      <c r="H53" s="6"/>
      <c r="I53" s="6"/>
      <c r="J53" s="6"/>
      <c r="K53" s="6"/>
      <c r="P53" s="6"/>
      <c r="Q53" s="6"/>
      <c r="S53" s="6"/>
      <c r="T53" s="6"/>
      <c r="AD53" s="6"/>
      <c r="AE53" s="6"/>
      <c r="AF53" s="6"/>
      <c r="AG53" s="6"/>
      <c r="AH53" s="6"/>
      <c r="AI53" s="6"/>
      <c r="AJ53" s="6"/>
      <c r="AK53" s="6"/>
      <c r="AL53" s="6"/>
      <c r="AM53" s="6"/>
      <c r="AN53" s="6"/>
      <c r="AO53" s="6"/>
      <c r="AP53" s="6"/>
      <c r="AS53" t="s">
        <v>1957</v>
      </c>
      <c r="BC53" s="6"/>
    </row>
    <row r="54" spans="1:58" ht="11.25" customHeight="1" x14ac:dyDescent="0.15">
      <c r="A54" t="s">
        <v>569</v>
      </c>
      <c r="E54" s="6"/>
      <c r="F54" s="6"/>
      <c r="G54" s="6"/>
      <c r="H54" s="6"/>
      <c r="I54" s="6"/>
      <c r="J54" s="6"/>
      <c r="K54" s="6"/>
      <c r="P54" s="6"/>
      <c r="Q54" s="6"/>
      <c r="S54" s="6"/>
      <c r="T54" s="6"/>
      <c r="AD54" s="6"/>
      <c r="AE54" s="6"/>
      <c r="AF54" s="6"/>
      <c r="AG54" s="6"/>
      <c r="AH54" s="6"/>
      <c r="AI54" s="6"/>
      <c r="AJ54" s="6"/>
      <c r="AK54" s="6"/>
      <c r="AL54" s="6"/>
      <c r="AO54" t="s">
        <v>3544</v>
      </c>
      <c r="BC54" s="6"/>
    </row>
    <row r="55" spans="1:58" ht="11.25" customHeight="1" x14ac:dyDescent="0.15">
      <c r="A55" t="s">
        <v>569</v>
      </c>
      <c r="E55" s="6"/>
      <c r="F55" s="6"/>
      <c r="G55" s="6"/>
      <c r="H55" s="6"/>
      <c r="I55" s="6"/>
      <c r="J55" s="6"/>
      <c r="K55" s="6"/>
      <c r="P55" s="6"/>
      <c r="Q55" s="6"/>
      <c r="S55" s="6"/>
      <c r="T55" s="6"/>
      <c r="AD55" s="6"/>
      <c r="AE55" s="6"/>
      <c r="AF55" s="6"/>
      <c r="AG55" s="6"/>
      <c r="AH55" s="6"/>
      <c r="AK55" t="s">
        <v>3545</v>
      </c>
      <c r="BC55" s="6"/>
    </row>
    <row r="56" spans="1:58" ht="11.25" customHeight="1" x14ac:dyDescent="0.15">
      <c r="A56" t="s">
        <v>569</v>
      </c>
      <c r="B56" t="s">
        <v>570</v>
      </c>
      <c r="C56" t="s">
        <v>571</v>
      </c>
      <c r="D56" t="s">
        <v>3551</v>
      </c>
      <c r="E56" s="6"/>
      <c r="F56" s="6"/>
      <c r="G56" s="6"/>
      <c r="H56" s="6"/>
      <c r="I56" s="6"/>
      <c r="J56" s="6"/>
      <c r="K56" s="6"/>
      <c r="P56" s="6"/>
      <c r="Q56" s="6"/>
      <c r="S56" s="6"/>
      <c r="T56" s="6"/>
      <c r="W56" t="str">
        <f>Z52&amp;"-"&amp;AB52</f>
        <v>-</v>
      </c>
      <c r="Y56" t="str">
        <f>AB52&amp;"-"&amp;AD52</f>
        <v>-да</v>
      </c>
      <c r="AD56" s="6"/>
      <c r="AG56" t="s">
        <v>1960</v>
      </c>
      <c r="AU56" t="str">
        <f>AX52&amp;"-"&amp;AZ52</f>
        <v>-</v>
      </c>
      <c r="AW56" t="str">
        <f>AZ52&amp;"-"&amp;BB52</f>
        <v>-</v>
      </c>
      <c r="BB56" t="str">
        <f>BE52&amp;"-"&amp;BG52</f>
        <v>-</v>
      </c>
      <c r="BC56" s="6"/>
      <c r="BF56" t="str">
        <f t="shared" ref="BF56:BF63" si="4">IF(T56="","",T56)</f>
        <v/>
      </c>
    </row>
    <row r="57" spans="1:58" ht="11.25" customHeight="1" x14ac:dyDescent="0.15">
      <c r="A57" t="s">
        <v>569</v>
      </c>
      <c r="B57" t="s">
        <v>570</v>
      </c>
      <c r="C57" t="s">
        <v>571</v>
      </c>
      <c r="D57" t="s">
        <v>3551</v>
      </c>
      <c r="E57" s="6"/>
      <c r="F57" s="6"/>
      <c r="G57" s="6"/>
      <c r="H57" s="6"/>
      <c r="I57" s="6"/>
      <c r="J57" s="6"/>
      <c r="P57" s="6"/>
      <c r="Q57" s="6"/>
      <c r="T57" t="s">
        <v>1801</v>
      </c>
      <c r="BC57" s="6"/>
      <c r="BF57" t="str">
        <f t="shared" si="4"/>
        <v>Добавить строку</v>
      </c>
    </row>
    <row r="58" spans="1:58" ht="0" hidden="1" customHeight="1" x14ac:dyDescent="0.15">
      <c r="A58" t="s">
        <v>569</v>
      </c>
      <c r="B58" t="s">
        <v>570</v>
      </c>
      <c r="C58" t="s">
        <v>571</v>
      </c>
      <c r="D58" t="s">
        <v>3551</v>
      </c>
      <c r="E58" s="6"/>
      <c r="F58" s="6"/>
      <c r="G58" s="6"/>
      <c r="H58" s="6"/>
      <c r="I58" s="6"/>
      <c r="P58" s="6"/>
      <c r="BF58" t="str">
        <f t="shared" si="4"/>
        <v/>
      </c>
    </row>
    <row r="59" spans="1:58" ht="0" hidden="1" customHeight="1" x14ac:dyDescent="0.15">
      <c r="A59" t="s">
        <v>569</v>
      </c>
      <c r="B59" t="s">
        <v>570</v>
      </c>
      <c r="C59" t="s">
        <v>571</v>
      </c>
      <c r="D59" t="s">
        <v>3551</v>
      </c>
      <c r="E59" s="6"/>
      <c r="F59" s="6"/>
      <c r="G59" s="6"/>
      <c r="H59" s="6"/>
      <c r="BF59" t="str">
        <f t="shared" si="4"/>
        <v/>
      </c>
    </row>
    <row r="60" spans="1:58" ht="0" hidden="1" customHeight="1" x14ac:dyDescent="0.15">
      <c r="A60" t="s">
        <v>569</v>
      </c>
      <c r="B60" t="s">
        <v>570</v>
      </c>
      <c r="C60" t="s">
        <v>571</v>
      </c>
      <c r="E60" s="6"/>
      <c r="F60" s="6"/>
      <c r="G60" s="6"/>
      <c r="BF60" t="str">
        <f t="shared" si="4"/>
        <v/>
      </c>
    </row>
    <row r="61" spans="1:58" ht="0" hidden="1" customHeight="1" x14ac:dyDescent="0.15">
      <c r="A61" t="s">
        <v>569</v>
      </c>
      <c r="B61" t="s">
        <v>570</v>
      </c>
      <c r="E61" s="6"/>
      <c r="F61" s="6"/>
      <c r="T61" t="s">
        <v>1697</v>
      </c>
      <c r="BF61" t="str">
        <f t="shared" si="4"/>
        <v>Добавить централизованную систему для дифференциации</v>
      </c>
    </row>
    <row r="62" spans="1:58" ht="0" hidden="1" customHeight="1" x14ac:dyDescent="0.15">
      <c r="A62" t="s">
        <v>569</v>
      </c>
      <c r="E62" s="6"/>
      <c r="T62" t="s">
        <v>1698</v>
      </c>
      <c r="BF62" t="str">
        <f t="shared" si="4"/>
        <v>Добавить территорию для дифференциации</v>
      </c>
    </row>
    <row r="63" spans="1:58" ht="0" hidden="1" customHeight="1" x14ac:dyDescent="0.15">
      <c r="T63" t="s">
        <v>1699</v>
      </c>
      <c r="BF63" t="str">
        <f t="shared" si="4"/>
        <v>Добавить наименование тарифа</v>
      </c>
    </row>
    <row r="64" spans="1:58" ht="11.25" hidden="1" customHeight="1" x14ac:dyDescent="0.15"/>
    <row r="65" spans="19:55" ht="18.75" hidden="1" customHeight="1" x14ac:dyDescent="0.15">
      <c r="S65" t="s">
        <v>1769</v>
      </c>
      <c r="T65" s="6" t="s">
        <v>1971</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row>
    <row r="66" spans="19:55" ht="14.25" hidden="1" customHeight="1" x14ac:dyDescent="0.15"/>
    <row r="67" spans="19:55" ht="18.75" hidden="1" customHeight="1" x14ac:dyDescent="0.15">
      <c r="S67" t="s">
        <v>1769</v>
      </c>
      <c r="T67" s="6" t="s">
        <v>1935</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I15"/>
  <sheetViews>
    <sheetView showGridLines="0" topLeftCell="C4" zoomScale="90" workbookViewId="0"/>
  </sheetViews>
  <sheetFormatPr defaultColWidth="9.140625" defaultRowHeight="14.25" customHeight="1" x14ac:dyDescent="0.15"/>
  <cols>
    <col min="1" max="2" width="9.140625" hidden="1"/>
    <col min="3" max="3" width="3.7109375" customWidth="1"/>
    <col min="4" max="4" width="7" customWidth="1"/>
    <col min="5" max="5" width="23.140625" customWidth="1"/>
    <col min="6" max="6" width="16" customWidth="1"/>
    <col min="7" max="7" width="14.85546875" customWidth="1"/>
    <col min="8" max="8" width="47.85546875" customWidth="1"/>
    <col min="9" max="9" width="115.7109375" customWidth="1"/>
    <col min="10" max="10" width="3.7109375" customWidth="1"/>
  </cols>
  <sheetData>
    <row r="1" spans="1:9" ht="14.25" hidden="1" customHeight="1" x14ac:dyDescent="0.15"/>
    <row r="2" spans="1:9" ht="14.25" hidden="1" customHeight="1" x14ac:dyDescent="0.15"/>
    <row r="3" spans="1:9" ht="14.25" hidden="1" customHeight="1" x14ac:dyDescent="0.15"/>
    <row r="4" spans="1:9" ht="3" customHeight="1" x14ac:dyDescent="0.15"/>
    <row r="5" spans="1:9" ht="30" customHeight="1" x14ac:dyDescent="0.15">
      <c r="D5" s="6" t="s">
        <v>3552</v>
      </c>
      <c r="E5" s="6"/>
      <c r="F5" s="6"/>
      <c r="G5" s="6"/>
      <c r="H5" s="6"/>
    </row>
    <row r="6" spans="1:9" ht="3" hidden="1" customHeight="1" x14ac:dyDescent="0.15"/>
    <row r="8" spans="1:9" ht="14.25" customHeight="1" x14ac:dyDescent="0.15">
      <c r="D8" s="6" t="s">
        <v>593</v>
      </c>
      <c r="E8" s="6"/>
      <c r="F8" s="6"/>
      <c r="G8" s="6"/>
      <c r="H8" s="6"/>
      <c r="I8" s="6" t="s">
        <v>594</v>
      </c>
    </row>
    <row r="9" spans="1:9" ht="27.75" customHeight="1" x14ac:dyDescent="0.15">
      <c r="D9" s="6" t="s">
        <v>75</v>
      </c>
      <c r="E9" s="6" t="s">
        <v>3553</v>
      </c>
      <c r="F9" s="6"/>
      <c r="G9" s="6"/>
      <c r="H9" s="6"/>
      <c r="I9" s="6"/>
    </row>
    <row r="10" spans="1:9" ht="22.5" customHeight="1" x14ac:dyDescent="0.15">
      <c r="D10" s="6"/>
      <c r="E10" t="s">
        <v>3554</v>
      </c>
      <c r="F10" t="s">
        <v>3555</v>
      </c>
      <c r="G10" t="s">
        <v>3556</v>
      </c>
      <c r="H10" t="s">
        <v>685</v>
      </c>
      <c r="I10" s="6"/>
    </row>
    <row r="11" spans="1:9" ht="12" hidden="1" customHeight="1" x14ac:dyDescent="0.15">
      <c r="D11" t="s">
        <v>165</v>
      </c>
      <c r="E11" t="s">
        <v>78</v>
      </c>
      <c r="F11" t="s">
        <v>100</v>
      </c>
      <c r="G11" t="s">
        <v>79</v>
      </c>
      <c r="H11" t="s">
        <v>80</v>
      </c>
      <c r="I11" t="s">
        <v>102</v>
      </c>
    </row>
    <row r="12" spans="1:9" ht="24.75" customHeight="1" x14ac:dyDescent="0.15">
      <c r="A12" t="s">
        <v>77</v>
      </c>
      <c r="B12" t="s">
        <v>4</v>
      </c>
      <c r="D12" t="s">
        <v>165</v>
      </c>
      <c r="G12" t="s">
        <v>4</v>
      </c>
      <c r="I12" s="6" t="s">
        <v>3557</v>
      </c>
    </row>
    <row r="13" spans="1:9" ht="15" customHeight="1" x14ac:dyDescent="0.15">
      <c r="E13" t="s">
        <v>1801</v>
      </c>
      <c r="I13" s="6"/>
    </row>
    <row r="14" spans="1:9" ht="3" customHeight="1" x14ac:dyDescent="0.15"/>
    <row r="15" spans="1:9" ht="27.75" customHeight="1" x14ac:dyDescent="0.15">
      <c r="E15" s="6" t="s">
        <v>3558</v>
      </c>
      <c r="F15" s="6"/>
      <c r="G15" s="6"/>
      <c r="H15" s="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E15"/>
  <sheetViews>
    <sheetView showGridLines="0" topLeftCell="C6" zoomScale="90" workbookViewId="0"/>
  </sheetViews>
  <sheetFormatPr defaultColWidth="9.140625" defaultRowHeight="14.25" customHeight="1" x14ac:dyDescent="0.15"/>
  <cols>
    <col min="1" max="2" width="9.140625" hidden="1"/>
    <col min="3" max="3" width="3.7109375" customWidth="1"/>
    <col min="4" max="4" width="6.28515625" customWidth="1"/>
    <col min="5" max="5" width="94.85546875" customWidth="1"/>
  </cols>
  <sheetData>
    <row r="1" spans="4:5" ht="14.25" hidden="1" customHeight="1" x14ac:dyDescent="0.15"/>
    <row r="2" spans="4:5" ht="14.25" hidden="1" customHeight="1" x14ac:dyDescent="0.15"/>
    <row r="3" spans="4:5" ht="14.25" hidden="1" customHeight="1" x14ac:dyDescent="0.15"/>
    <row r="4" spans="4:5" ht="14.25" hidden="1" customHeight="1" x14ac:dyDescent="0.15"/>
    <row r="5" spans="4:5" ht="14.25" hidden="1" customHeight="1" x14ac:dyDescent="0.15"/>
    <row r="6" spans="4:5" ht="3" customHeight="1" x14ac:dyDescent="0.15"/>
    <row r="7" spans="4:5" ht="22.5" customHeight="1" x14ac:dyDescent="0.15">
      <c r="D7" s="6" t="s">
        <v>3559</v>
      </c>
      <c r="E7" s="6"/>
    </row>
    <row r="8" spans="4:5" ht="3" customHeight="1" x14ac:dyDescent="0.15"/>
    <row r="9" spans="4:5" ht="15.75" customHeight="1" x14ac:dyDescent="0.15">
      <c r="D9" t="s">
        <v>75</v>
      </c>
      <c r="E9" t="s">
        <v>3560</v>
      </c>
    </row>
    <row r="10" spans="4:5" ht="12" customHeight="1" x14ac:dyDescent="0.15">
      <c r="D10" t="s">
        <v>165</v>
      </c>
      <c r="E10" t="s">
        <v>89</v>
      </c>
    </row>
    <row r="11" spans="4:5" ht="11.25" hidden="1" customHeight="1" x14ac:dyDescent="0.15">
      <c r="D11">
        <v>0</v>
      </c>
    </row>
    <row r="12" spans="4:5" ht="15" customHeight="1" x14ac:dyDescent="0.15">
      <c r="D12">
        <v>1</v>
      </c>
    </row>
    <row r="13" spans="4:5" ht="12" customHeight="1" x14ac:dyDescent="0.15">
      <c r="E13" t="s">
        <v>3561</v>
      </c>
    </row>
    <row r="14" spans="4:5" ht="3" customHeight="1" x14ac:dyDescent="0.15"/>
    <row r="15" spans="4:5" ht="22.5" customHeight="1" x14ac:dyDescent="0.15">
      <c r="D15" s="6" t="s">
        <v>3562</v>
      </c>
      <c r="E15" s="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opLeftCell="C4" zoomScale="90" workbookViewId="0"/>
  </sheetViews>
  <sheetFormatPr defaultColWidth="9.140625" defaultRowHeight="11.25" customHeight="1" x14ac:dyDescent="0.15"/>
  <cols>
    <col min="1" max="2" width="15" hidden="1" customWidth="1"/>
    <col min="3" max="3" width="3.7109375" customWidth="1"/>
    <col min="4" max="4" width="6.85546875" customWidth="1"/>
    <col min="5" max="5" width="52.28515625" customWidth="1"/>
    <col min="6" max="6" width="48.85546875" customWidth="1"/>
    <col min="7" max="7" width="93.42578125" customWidth="1"/>
    <col min="9" max="9" width="65" customWidth="1"/>
  </cols>
  <sheetData>
    <row r="1" spans="1:7" ht="11.25" hidden="1" customHeight="1" x14ac:dyDescent="0.15">
      <c r="A1" t="s">
        <v>592</v>
      </c>
    </row>
    <row r="2" spans="1:7" ht="22.5" hidden="1" customHeight="1" x14ac:dyDescent="0.15"/>
    <row r="3" spans="1:7" ht="11.25" hidden="1" customHeight="1" x14ac:dyDescent="0.15"/>
    <row r="5" spans="1:7" ht="36.75" customHeight="1" x14ac:dyDescent="0.15">
      <c r="D5" s="6"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6"/>
      <c r="F5" s="6"/>
    </row>
    <row r="6" spans="1:7" ht="17.25" customHeight="1" x14ac:dyDescent="0.15">
      <c r="D6" s="6" t="str">
        <f>IF(region_name=0,"Не определено",region_name)</f>
        <v>Приморский край</v>
      </c>
      <c r="E6" s="6"/>
      <c r="F6" s="6"/>
    </row>
    <row r="8" spans="1:7" ht="11.25" hidden="1" customHeight="1" x14ac:dyDescent="0.15">
      <c r="E8" s="6"/>
      <c r="F8" s="6"/>
    </row>
    <row r="9" spans="1:7" ht="11.25" customHeight="1" x14ac:dyDescent="0.15">
      <c r="D9" s="6" t="s">
        <v>593</v>
      </c>
      <c r="E9" s="6"/>
      <c r="F9" s="6"/>
      <c r="G9" s="6" t="s">
        <v>594</v>
      </c>
    </row>
    <row r="10" spans="1:7" ht="11.25" customHeight="1" x14ac:dyDescent="0.15">
      <c r="D10" t="s">
        <v>75</v>
      </c>
      <c r="E10" t="s">
        <v>595</v>
      </c>
      <c r="F10" t="s">
        <v>596</v>
      </c>
      <c r="G10" s="6"/>
    </row>
    <row r="11" spans="1:7" ht="12" customHeight="1" x14ac:dyDescent="0.15"/>
    <row r="12" spans="1:7" ht="22.5" customHeight="1" x14ac:dyDescent="0.15">
      <c r="D12">
        <v>1</v>
      </c>
      <c r="E12" t="s">
        <v>3563</v>
      </c>
      <c r="G12" t="s">
        <v>3564</v>
      </c>
    </row>
    <row r="13" spans="1:7" ht="18.75" customHeight="1" x14ac:dyDescent="0.15">
      <c r="D13">
        <v>2</v>
      </c>
      <c r="E13" t="s">
        <v>3565</v>
      </c>
      <c r="F13" t="s">
        <v>599</v>
      </c>
    </row>
    <row r="14" spans="1:7" ht="18.75" customHeight="1" x14ac:dyDescent="0.15">
      <c r="D14" t="s">
        <v>799</v>
      </c>
      <c r="E14" t="s">
        <v>3566</v>
      </c>
      <c r="G14" t="s">
        <v>3567</v>
      </c>
    </row>
    <row r="15" spans="1:7" ht="18.75" customHeight="1" x14ac:dyDescent="0.15">
      <c r="D15" t="s">
        <v>600</v>
      </c>
      <c r="E15" t="s">
        <v>3568</v>
      </c>
      <c r="G15" t="s">
        <v>3569</v>
      </c>
    </row>
    <row r="16" spans="1:7" ht="36.75" customHeight="1" x14ac:dyDescent="0.15">
      <c r="D16" t="s">
        <v>603</v>
      </c>
      <c r="E16" t="s">
        <v>3570</v>
      </c>
      <c r="G16" t="s">
        <v>3571</v>
      </c>
    </row>
    <row r="17" spans="1:7" ht="45" customHeight="1" x14ac:dyDescent="0.15">
      <c r="D17">
        <v>3</v>
      </c>
      <c r="E17" t="s">
        <v>3572</v>
      </c>
      <c r="G17" t="s">
        <v>3573</v>
      </c>
    </row>
    <row r="18" spans="1:7" ht="45" customHeight="1" x14ac:dyDescent="0.15">
      <c r="A18">
        <v>1</v>
      </c>
      <c r="D18" t="s">
        <v>78</v>
      </c>
      <c r="E18" t="s">
        <v>3574</v>
      </c>
      <c r="G18" t="s">
        <v>3573</v>
      </c>
    </row>
    <row r="19" spans="1:7" ht="22.5" customHeight="1" x14ac:dyDescent="0.15">
      <c r="D19" t="s">
        <v>100</v>
      </c>
      <c r="E19" t="s">
        <v>3575</v>
      </c>
      <c r="F19" t="s">
        <v>599</v>
      </c>
      <c r="G19" s="6" t="s">
        <v>3576</v>
      </c>
    </row>
    <row r="20" spans="1:7" ht="5.25" hidden="1" customHeight="1" x14ac:dyDescent="0.15">
      <c r="D20" t="s">
        <v>1884</v>
      </c>
      <c r="G20" s="6"/>
    </row>
    <row r="21" spans="1:7" ht="15" customHeight="1" x14ac:dyDescent="0.15">
      <c r="E21" t="s">
        <v>634</v>
      </c>
      <c r="G21" s="6"/>
    </row>
    <row r="22" spans="1:7" ht="24.75" customHeight="1" x14ac:dyDescent="0.15">
      <c r="D22" t="s">
        <v>79</v>
      </c>
      <c r="E22" t="s">
        <v>3577</v>
      </c>
      <c r="G22" t="s">
        <v>3578</v>
      </c>
    </row>
    <row r="23" spans="1:7" ht="18.75" customHeight="1" x14ac:dyDescent="0.15">
      <c r="D23" t="s">
        <v>80</v>
      </c>
      <c r="E23" t="s">
        <v>3579</v>
      </c>
      <c r="G23" t="s">
        <v>3580</v>
      </c>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showGridLines="0" topLeftCell="D4" zoomScale="90" workbookViewId="0"/>
  </sheetViews>
  <sheetFormatPr defaultColWidth="9.140625" defaultRowHeight="14.25" customHeight="1" x14ac:dyDescent="0.15"/>
  <cols>
    <col min="1" max="2" width="9.140625" hidden="1"/>
    <col min="3" max="3" width="3.7109375" hidden="1" customWidth="1"/>
    <col min="4" max="4" width="3.85546875" customWidth="1"/>
    <col min="5" max="5" width="6.28515625" customWidth="1"/>
    <col min="6" max="6" width="46.7109375" customWidth="1"/>
    <col min="7" max="8" width="16.7109375" customWidth="1"/>
    <col min="9" max="9" width="35.28515625" customWidth="1"/>
    <col min="10" max="10" width="89.5703125" customWidth="1"/>
    <col min="11" max="11" width="3.7109375" customWidth="1"/>
    <col min="15" max="15" width="25.7109375" customWidth="1"/>
    <col min="16" max="16" width="14.42578125" customWidth="1"/>
  </cols>
  <sheetData>
    <row r="1" spans="1:16" ht="14.25" hidden="1" customHeight="1" x14ac:dyDescent="0.15"/>
    <row r="2" spans="1:16" ht="22.5" hidden="1" customHeight="1" x14ac:dyDescent="0.15">
      <c r="B2">
        <v>1</v>
      </c>
      <c r="K2" t="e">
        <f ca="1">MERGEVALUE(F2)</f>
        <v>#NAME?</v>
      </c>
      <c r="N2" t="str">
        <f t="array" ref="N2">IF(ISERROR(MATCH(MID(O2,1,250),MID(note_ter,1,250),0)),"n","y")</f>
        <v>n</v>
      </c>
      <c r="P2" t="str">
        <f>G2&amp;"("&amp;J2&amp;")"</f>
        <v>()</v>
      </c>
    </row>
    <row r="3" spans="1:16" ht="5.25" hidden="1" customHeight="1" x14ac:dyDescent="0.15">
      <c r="F3" t="s">
        <v>70</v>
      </c>
      <c r="G3" t="s">
        <v>71</v>
      </c>
      <c r="J3" t="s">
        <v>72</v>
      </c>
      <c r="K3" t="s">
        <v>70</v>
      </c>
    </row>
    <row r="5" spans="1:16" ht="25.5" customHeight="1" x14ac:dyDescent="0.15">
      <c r="E5" s="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6"/>
      <c r="G5" s="6"/>
      <c r="H5" s="6"/>
      <c r="I5" s="6"/>
      <c r="J5" s="6"/>
    </row>
    <row r="7" spans="1:16" ht="14.25" customHeight="1" x14ac:dyDescent="0.15">
      <c r="E7" s="6" t="s">
        <v>593</v>
      </c>
      <c r="F7" s="6"/>
      <c r="G7" s="6"/>
      <c r="H7" s="6"/>
      <c r="I7" s="6"/>
      <c r="J7" s="6" t="s">
        <v>594</v>
      </c>
    </row>
    <row r="8" spans="1:16" ht="20.25" customHeight="1" x14ac:dyDescent="0.15">
      <c r="E8" t="s">
        <v>75</v>
      </c>
      <c r="F8" t="s">
        <v>3581</v>
      </c>
      <c r="G8" t="s">
        <v>34</v>
      </c>
      <c r="H8" t="s">
        <v>36</v>
      </c>
      <c r="I8" t="s">
        <v>3582</v>
      </c>
      <c r="J8" s="6"/>
    </row>
    <row r="9" spans="1:16" ht="22.5" customHeight="1" x14ac:dyDescent="0.15">
      <c r="A9" s="6"/>
      <c r="B9">
        <v>1</v>
      </c>
      <c r="E9">
        <v>1</v>
      </c>
      <c r="J9" s="6" t="s">
        <v>3583</v>
      </c>
      <c r="K9" t="e">
        <f ca="1">MERGEVALUE(F9)</f>
        <v>#NAME?</v>
      </c>
      <c r="N9" t="str">
        <f t="array" ref="N9">IF(ISERROR(MATCH(MID(O9,1,250),MID(note_ter,1,250),0)),"n","y")</f>
        <v>n</v>
      </c>
      <c r="P9"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row>
    <row r="10" spans="1:16" ht="15" customHeight="1" x14ac:dyDescent="0.15">
      <c r="A10" s="6"/>
      <c r="F10" t="s">
        <v>3584</v>
      </c>
      <c r="J10" s="6"/>
    </row>
    <row r="11" spans="1:16" ht="21" customHeight="1" x14ac:dyDescent="0.15"/>
    <row r="13" spans="1:16" ht="0.75" customHeight="1" x14ac:dyDescent="0.15"/>
    <row r="14" spans="1:16" ht="10.5" customHeight="1" x14ac:dyDescent="0.15"/>
    <row r="15" spans="1:16" ht="10.5" customHeight="1" x14ac:dyDescent="0.15"/>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opLeftCell="D4" zoomScale="90" workbookViewId="0"/>
  </sheetViews>
  <sheetFormatPr defaultColWidth="9.140625" defaultRowHeight="14.25" customHeight="1" x14ac:dyDescent="0.15"/>
  <cols>
    <col min="1" max="2" width="9.140625" hidden="1"/>
    <col min="3" max="3" width="3.7109375" hidden="1" customWidth="1"/>
    <col min="4" max="4" width="3.85546875" customWidth="1"/>
    <col min="5" max="5" width="6.28515625" customWidth="1"/>
    <col min="6" max="6" width="27.28515625" customWidth="1"/>
    <col min="7" max="7" width="16.7109375" customWidth="1"/>
    <col min="8" max="8" width="12.7109375" customWidth="1"/>
    <col min="9" max="9" width="32.140625" customWidth="1"/>
    <col min="10" max="11" width="41.85546875" customWidth="1"/>
    <col min="12" max="12" width="89.5703125" customWidth="1"/>
    <col min="13" max="13" width="3.7109375" customWidth="1"/>
    <col min="17" max="17" width="25.7109375" customWidth="1"/>
    <col min="18" max="18" width="14.42578125" customWidth="1"/>
  </cols>
  <sheetData>
    <row r="1" spans="1:18" ht="14.25" hidden="1" customHeight="1" x14ac:dyDescent="0.15"/>
    <row r="2" spans="1:18" ht="22.5" hidden="1" customHeight="1" x14ac:dyDescent="0.15">
      <c r="B2">
        <v>1</v>
      </c>
      <c r="F2" t="str">
        <f>IF(ROIV_INFO_NAME="","",ROIV_INFO_NAME)</f>
        <v/>
      </c>
      <c r="G2" t="s">
        <v>4</v>
      </c>
      <c r="M2" t="e">
        <f ca="1">MERGEVALUE(F2)</f>
        <v>#NAME?</v>
      </c>
      <c r="P2" t="str">
        <f t="array" ref="P2">IF(ISERROR(MATCH(MID(Q2,1,250),MID(note_ter,1,250),0)),"n","y")</f>
        <v>n</v>
      </c>
      <c r="R2" t="str">
        <f>G2&amp;"("&amp;L2&amp;")"</f>
        <v>()</v>
      </c>
    </row>
    <row r="3" spans="1:18" ht="5.25" hidden="1" customHeight="1" x14ac:dyDescent="0.15">
      <c r="F3" t="s">
        <v>70</v>
      </c>
      <c r="G3" t="s">
        <v>71</v>
      </c>
      <c r="L3" t="s">
        <v>72</v>
      </c>
      <c r="M3" t="s">
        <v>70</v>
      </c>
    </row>
    <row r="5" spans="1:18" ht="25.5" customHeight="1" x14ac:dyDescent="0.15">
      <c r="E5" s="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6"/>
      <c r="G5" s="6"/>
      <c r="H5" s="6"/>
      <c r="I5" s="6"/>
      <c r="J5" s="6"/>
      <c r="K5" s="6"/>
    </row>
    <row r="7" spans="1:18" ht="14.25" customHeight="1" x14ac:dyDescent="0.15">
      <c r="E7" s="6" t="s">
        <v>593</v>
      </c>
      <c r="F7" s="6"/>
      <c r="G7" s="6"/>
      <c r="H7" s="6"/>
      <c r="I7" s="6"/>
      <c r="J7" s="6"/>
      <c r="K7" s="6"/>
      <c r="L7" s="6" t="s">
        <v>594</v>
      </c>
    </row>
    <row r="8" spans="1:18" ht="47.25" customHeight="1" x14ac:dyDescent="0.15">
      <c r="E8" s="6" t="s">
        <v>75</v>
      </c>
      <c r="F8" s="6" t="s">
        <v>3563</v>
      </c>
      <c r="G8" s="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6"/>
      <c r="I8" s="6"/>
      <c r="J8" s="6"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6"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6"/>
    </row>
    <row r="9" spans="1:18" ht="56.25" customHeight="1" x14ac:dyDescent="0.15">
      <c r="E9" s="6"/>
      <c r="F9" s="6"/>
      <c r="G9" t="s">
        <v>3585</v>
      </c>
      <c r="H9" t="s">
        <v>3586</v>
      </c>
      <c r="I9" t="s">
        <v>3587</v>
      </c>
      <c r="J9" s="6"/>
      <c r="K9" s="6"/>
      <c r="L9" s="6"/>
    </row>
    <row r="10" spans="1:18" ht="22.5" customHeight="1" x14ac:dyDescent="0.15">
      <c r="A10" s="6"/>
      <c r="B10">
        <v>1</v>
      </c>
      <c r="E10">
        <v>1</v>
      </c>
      <c r="F10" t="str">
        <f>IF(ROIV_INFO_NAME="","",ROIV_INFO_NAME)</f>
        <v/>
      </c>
      <c r="G10" t="s">
        <v>4</v>
      </c>
      <c r="L10" s="6" t="s">
        <v>3588</v>
      </c>
      <c r="M10" t="e">
        <f ca="1">MERGEVALUE(F10)</f>
        <v>#NAME?</v>
      </c>
      <c r="P10" t="str">
        <f t="array" ref="P10">IF(ISERROR(MATCH(MID(Q10,1,250),MID(note_ter,1,250),0)),"n","y")</f>
        <v>n</v>
      </c>
      <c r="R1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row>
    <row r="11" spans="1:18" ht="15" customHeight="1" x14ac:dyDescent="0.15">
      <c r="A11" s="6"/>
      <c r="F11" t="s">
        <v>3589</v>
      </c>
      <c r="L11" s="6"/>
    </row>
    <row r="12" spans="1:18" ht="21" customHeight="1" x14ac:dyDescent="0.15"/>
    <row r="14" spans="1:18" ht="0.75" customHeight="1" x14ac:dyDescent="0.15"/>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opLeftCell="D5" zoomScale="90" workbookViewId="0"/>
  </sheetViews>
  <sheetFormatPr defaultColWidth="9.140625" defaultRowHeight="14.25" customHeight="1" x14ac:dyDescent="0.15"/>
  <cols>
    <col min="1" max="2" width="9.140625" hidden="1"/>
    <col min="3" max="3" width="3.7109375" hidden="1" customWidth="1"/>
    <col min="4" max="4" width="3.85546875" customWidth="1"/>
    <col min="5" max="5" width="10.140625" customWidth="1"/>
    <col min="6" max="6" width="6.28515625" customWidth="1"/>
    <col min="7" max="7" width="27.28515625" customWidth="1"/>
    <col min="8" max="8" width="29.28515625" customWidth="1"/>
    <col min="9" max="9" width="25.42578125" customWidth="1"/>
    <col min="10" max="10" width="5.5703125" customWidth="1"/>
    <col min="11" max="11" width="6.5703125" customWidth="1"/>
    <col min="12" max="12" width="41.85546875" customWidth="1"/>
    <col min="13" max="13" width="42.42578125" customWidth="1"/>
    <col min="14" max="14" width="41.5703125" customWidth="1"/>
    <col min="15" max="15" width="64.140625" customWidth="1"/>
    <col min="16" max="16" width="3.7109375" customWidth="1"/>
    <col min="20" max="20" width="25.7109375" customWidth="1"/>
    <col min="21" max="21" width="14.42578125" customWidth="1"/>
  </cols>
  <sheetData>
    <row r="1" spans="1:19" ht="14.25" hidden="1" customHeight="1" x14ac:dyDescent="0.15"/>
    <row r="2" spans="1:19" ht="22.5" hidden="1" customHeight="1" x14ac:dyDescent="0.15">
      <c r="B2">
        <v>1</v>
      </c>
      <c r="E2" s="6"/>
      <c r="F2" s="6">
        <v>1</v>
      </c>
      <c r="G2" s="6" t="str">
        <f>IF(region_name="","",region_name)</f>
        <v>Приморский край</v>
      </c>
      <c r="H2" s="6"/>
      <c r="I2" s="6"/>
      <c r="K2">
        <v>1</v>
      </c>
      <c r="P2" t="e">
        <f ca="1">MERGEVALUE(G2)</f>
        <v>#NAME?</v>
      </c>
      <c r="S2" t="str">
        <f t="array" ref="S2">IF(ISERROR(MATCH(MID(T2,1,250),MID(note_ter,1,250),0)),"n","y")</f>
        <v>n</v>
      </c>
    </row>
    <row r="3" spans="1:19" ht="22.5" hidden="1" customHeight="1" x14ac:dyDescent="0.15">
      <c r="E3" s="6"/>
      <c r="F3" s="6"/>
      <c r="G3" s="6"/>
      <c r="H3" s="6"/>
      <c r="I3" s="6"/>
      <c r="L3" t="s">
        <v>3590</v>
      </c>
    </row>
    <row r="4" spans="1:19" ht="5.25" hidden="1" customHeight="1" x14ac:dyDescent="0.15">
      <c r="G4" t="s">
        <v>70</v>
      </c>
      <c r="H4" t="s">
        <v>71</v>
      </c>
      <c r="P4" t="s">
        <v>70</v>
      </c>
    </row>
    <row r="6" spans="1:19" ht="25.5" customHeight="1" x14ac:dyDescent="0.15">
      <c r="E6" s="6" t="s">
        <v>3591</v>
      </c>
      <c r="F6" s="6"/>
      <c r="G6" s="6"/>
      <c r="H6" s="6"/>
      <c r="I6" s="6"/>
      <c r="J6" s="6"/>
      <c r="K6" s="6"/>
      <c r="L6" s="6"/>
      <c r="M6" s="6"/>
      <c r="N6" s="6"/>
      <c r="O6" s="6"/>
    </row>
    <row r="8" spans="1:19" ht="42.75" customHeight="1" x14ac:dyDescent="0.15">
      <c r="E8" t="s">
        <v>594</v>
      </c>
      <c r="G8" t="s">
        <v>598</v>
      </c>
      <c r="H8" t="s">
        <v>3592</v>
      </c>
      <c r="I8" t="s">
        <v>602</v>
      </c>
      <c r="J8" s="6"/>
      <c r="K8" s="6"/>
      <c r="L8" s="6"/>
      <c r="M8" t="s">
        <v>3593</v>
      </c>
      <c r="N8" t="s">
        <v>3594</v>
      </c>
      <c r="O8" t="s">
        <v>3595</v>
      </c>
    </row>
    <row r="9" spans="1:19" ht="47.25" customHeight="1" x14ac:dyDescent="0.15">
      <c r="E9" s="6" t="s">
        <v>593</v>
      </c>
      <c r="F9" s="6" t="s">
        <v>75</v>
      </c>
      <c r="G9" s="6" t="s">
        <v>597</v>
      </c>
      <c r="H9" s="6" t="s">
        <v>3596</v>
      </c>
      <c r="I9" s="6"/>
      <c r="J9" s="6" t="s">
        <v>3597</v>
      </c>
      <c r="K9" s="6"/>
      <c r="L9" s="6"/>
      <c r="M9" s="6" t="s">
        <v>3598</v>
      </c>
      <c r="N9" s="6" t="s">
        <v>3599</v>
      </c>
      <c r="O9" s="6" t="s">
        <v>3600</v>
      </c>
    </row>
    <row r="10" spans="1:19" ht="56.25" customHeight="1" x14ac:dyDescent="0.15">
      <c r="E10" s="6"/>
      <c r="F10" s="6"/>
      <c r="G10" s="6"/>
      <c r="H10" t="s">
        <v>3601</v>
      </c>
      <c r="I10" t="s">
        <v>601</v>
      </c>
      <c r="J10" s="6"/>
      <c r="K10" s="6"/>
      <c r="L10" s="6"/>
      <c r="M10" s="6"/>
      <c r="N10" s="6"/>
      <c r="O10" s="6"/>
    </row>
    <row r="11" spans="1:19" ht="22.5" customHeight="1" x14ac:dyDescent="0.15">
      <c r="A11" s="6">
        <v>26379339</v>
      </c>
      <c r="B11">
        <v>1</v>
      </c>
      <c r="E11" s="6"/>
      <c r="F11" s="6">
        <v>1</v>
      </c>
      <c r="G11" s="6" t="str">
        <f>IF(region_name="","",region_name)</f>
        <v>Приморский край</v>
      </c>
      <c r="H11" s="6"/>
      <c r="I11" s="6"/>
      <c r="K11">
        <v>1</v>
      </c>
      <c r="P11" t="e">
        <f ca="1">MERGEVALUE(G11)</f>
        <v>#NAME?</v>
      </c>
      <c r="S11" t="str">
        <f t="array" ref="S11">IF(ISERROR(MATCH(MID(T11,1,250),MID(note_ter,1,250),0)),"n","y")</f>
        <v>n</v>
      </c>
    </row>
    <row r="12" spans="1:19" ht="22.5" customHeight="1" x14ac:dyDescent="0.15">
      <c r="A12" s="6"/>
      <c r="E12" s="6"/>
      <c r="F12" s="6"/>
      <c r="G12" s="6"/>
      <c r="H12" s="6"/>
      <c r="I12" s="6"/>
      <c r="L12" t="s">
        <v>3590</v>
      </c>
    </row>
    <row r="13" spans="1:19" ht="22.5" customHeight="1" x14ac:dyDescent="0.15">
      <c r="A13" s="6"/>
      <c r="G13" t="s">
        <v>3584</v>
      </c>
    </row>
    <row r="14" spans="1:19" ht="21" customHeight="1" x14ac:dyDescent="0.15"/>
    <row r="16" spans="1:19" ht="0.75" customHeight="1" x14ac:dyDescent="0.15"/>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E13"/>
  <sheetViews>
    <sheetView showGridLines="0" topLeftCell="C6" zoomScale="90" workbookViewId="0">
      <selection activeCell="E12" sqref="E12"/>
    </sheetView>
  </sheetViews>
  <sheetFormatPr defaultColWidth="9.140625" defaultRowHeight="14.25" customHeight="1" x14ac:dyDescent="0.15"/>
  <cols>
    <col min="1" max="2" width="9.140625" hidden="1"/>
    <col min="3" max="3" width="3.7109375" customWidth="1"/>
    <col min="4" max="4" width="6.28515625" customWidth="1"/>
    <col min="5" max="5" width="94.85546875" customWidth="1"/>
  </cols>
  <sheetData>
    <row r="1" spans="3:5" ht="14.25" hidden="1" customHeight="1" x14ac:dyDescent="0.15"/>
    <row r="2" spans="3:5" ht="14.25" hidden="1" customHeight="1" x14ac:dyDescent="0.15"/>
    <row r="3" spans="3:5" ht="14.25" hidden="1" customHeight="1" x14ac:dyDescent="0.15"/>
    <row r="4" spans="3:5" ht="14.25" hidden="1" customHeight="1" x14ac:dyDescent="0.15"/>
    <row r="5" spans="3:5" ht="14.25" hidden="1" customHeight="1" x14ac:dyDescent="0.15"/>
    <row r="6" spans="3:5" ht="3" customHeight="1" x14ac:dyDescent="0.15"/>
    <row r="7" spans="3:5" ht="22.5" customHeight="1" x14ac:dyDescent="0.15">
      <c r="D7" s="6" t="s">
        <v>3602</v>
      </c>
      <c r="E7" s="6"/>
    </row>
    <row r="8" spans="3:5" ht="3" customHeight="1" x14ac:dyDescent="0.15"/>
    <row r="9" spans="3:5" ht="15.75" customHeight="1" x14ac:dyDescent="0.15">
      <c r="D9" t="s">
        <v>75</v>
      </c>
      <c r="E9" t="s">
        <v>580</v>
      </c>
    </row>
    <row r="10" spans="3:5" ht="12" customHeight="1" x14ac:dyDescent="0.15">
      <c r="D10" t="s">
        <v>165</v>
      </c>
      <c r="E10" t="s">
        <v>89</v>
      </c>
    </row>
    <row r="11" spans="3:5" ht="15" hidden="1" customHeight="1" x14ac:dyDescent="0.15">
      <c r="D11">
        <v>0</v>
      </c>
    </row>
    <row r="12" spans="3:5" ht="174.6" customHeight="1" x14ac:dyDescent="0.15">
      <c r="C12" t="s">
        <v>90</v>
      </c>
      <c r="D12" t="s">
        <v>165</v>
      </c>
      <c r="E12" t="s">
        <v>3603</v>
      </c>
    </row>
    <row r="13" spans="3:5" ht="14.25" customHeight="1" x14ac:dyDescent="0.15">
      <c r="E13" t="s">
        <v>3561</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B1:D4"/>
  <sheetViews>
    <sheetView showGridLines="0" zoomScale="90" workbookViewId="0"/>
  </sheetViews>
  <sheetFormatPr defaultColWidth="9.140625" defaultRowHeight="11.25" customHeight="1" x14ac:dyDescent="0.15"/>
  <cols>
    <col min="1" max="1" width="1.7109375" customWidth="1"/>
    <col min="2" max="2" width="34.5703125" customWidth="1"/>
    <col min="3" max="3" width="85.5703125" customWidth="1"/>
    <col min="4" max="4" width="17.7109375" customWidth="1"/>
  </cols>
  <sheetData>
    <row r="1" spans="2:4" ht="3" customHeight="1" x14ac:dyDescent="0.15"/>
    <row r="2" spans="2:4" ht="22.5" customHeight="1" x14ac:dyDescent="0.15">
      <c r="B2" s="6" t="s">
        <v>3604</v>
      </c>
      <c r="C2" s="6"/>
      <c r="D2" s="6"/>
    </row>
    <row r="3" spans="2:4" ht="3" customHeight="1" x14ac:dyDescent="0.15"/>
    <row r="4" spans="2:4" ht="21.75" customHeight="1" x14ac:dyDescent="0.15">
      <c r="B4" t="s">
        <v>3605</v>
      </c>
      <c r="C4" t="s">
        <v>3606</v>
      </c>
      <c r="D4" t="s">
        <v>3607</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x14ac:dyDescent="0.15"/>
  <cols>
    <col min="1" max="1" width="10.5703125" customWidth="1"/>
    <col min="2" max="2" width="8.7109375" customWidth="1"/>
    <col min="3" max="3" width="18.140625" customWidth="1"/>
    <col min="4" max="4" width="12.5703125" customWidth="1"/>
  </cols>
  <sheetData>
    <row r="1" spans="1:5" ht="11.25" customHeight="1" x14ac:dyDescent="0.15">
      <c r="A1" t="s">
        <v>3608</v>
      </c>
      <c r="B1" t="s">
        <v>3609</v>
      </c>
      <c r="C1" s="6" t="s">
        <v>3610</v>
      </c>
      <c r="D1" s="6"/>
      <c r="E1" t="s">
        <v>3611</v>
      </c>
    </row>
    <row r="2" spans="1:5" ht="11.25" customHeight="1" x14ac:dyDescent="0.15">
      <c r="B2" t="s">
        <v>9</v>
      </c>
    </row>
    <row r="3" spans="1:5" ht="11.25" customHeight="1" x14ac:dyDescent="0.15">
      <c r="B3" t="s">
        <v>15</v>
      </c>
    </row>
    <row r="4" spans="1:5" ht="11.25" customHeight="1" x14ac:dyDescent="0.15">
      <c r="B4" t="s">
        <v>1009</v>
      </c>
    </row>
    <row r="5" spans="1:5" ht="11.25" customHeight="1" x14ac:dyDescent="0.15">
      <c r="B5" t="s">
        <v>787</v>
      </c>
      <c r="C5" t="s">
        <v>754</v>
      </c>
      <c r="D5" t="s">
        <v>3612</v>
      </c>
    </row>
    <row r="6" spans="1:5" ht="11.25" customHeight="1" x14ac:dyDescent="0.15">
      <c r="B6" t="s">
        <v>1013</v>
      </c>
    </row>
    <row r="7" spans="1:5" ht="11.25" customHeight="1" x14ac:dyDescent="0.15">
      <c r="B7" t="s">
        <v>1015</v>
      </c>
    </row>
    <row r="8" spans="1:5" ht="11.25" customHeight="1" x14ac:dyDescent="0.15">
      <c r="B8" t="s">
        <v>1014</v>
      </c>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404"/>
  <sheetViews>
    <sheetView showGridLines="0" workbookViewId="0"/>
  </sheetViews>
  <sheetFormatPr defaultColWidth="9.140625" defaultRowHeight="11.25" customHeight="1" x14ac:dyDescent="0.15"/>
  <cols>
    <col min="3" max="3" width="20.7109375" customWidth="1"/>
    <col min="4" max="4" width="25.140625" customWidth="1"/>
  </cols>
  <sheetData>
    <row r="1" spans="1:14" ht="11.25" customHeight="1" x14ac:dyDescent="0.15">
      <c r="A1" t="s">
        <v>3613</v>
      </c>
      <c r="B1" t="s">
        <v>3614</v>
      </c>
      <c r="C1" t="s">
        <v>3615</v>
      </c>
      <c r="D1" t="s">
        <v>3616</v>
      </c>
      <c r="E1" t="s">
        <v>3617</v>
      </c>
      <c r="F1" t="s">
        <v>3618</v>
      </c>
      <c r="G1" t="s">
        <v>3619</v>
      </c>
      <c r="H1" t="s">
        <v>3620</v>
      </c>
      <c r="I1" t="s">
        <v>3621</v>
      </c>
      <c r="J1" t="s">
        <v>3622</v>
      </c>
      <c r="K1" t="s">
        <v>3623</v>
      </c>
      <c r="L1" t="s">
        <v>3624</v>
      </c>
      <c r="M1" t="s">
        <v>3625</v>
      </c>
      <c r="N1" t="s">
        <v>3626</v>
      </c>
    </row>
    <row r="2" spans="1:14" ht="11.25" customHeight="1" x14ac:dyDescent="0.15">
      <c r="A2" t="s">
        <v>3627</v>
      </c>
      <c r="B2" t="s">
        <v>1</v>
      </c>
      <c r="C2" t="s">
        <v>3628</v>
      </c>
      <c r="D2" t="s">
        <v>3629</v>
      </c>
      <c r="E2" t="s">
        <v>3630</v>
      </c>
      <c r="F2" t="s">
        <v>3631</v>
      </c>
      <c r="G2" t="s">
        <v>4</v>
      </c>
      <c r="H2" t="s">
        <v>4</v>
      </c>
      <c r="I2" t="s">
        <v>3632</v>
      </c>
      <c r="J2" t="s">
        <v>4</v>
      </c>
      <c r="K2" t="s">
        <v>1159</v>
      </c>
      <c r="L2" t="s">
        <v>3633</v>
      </c>
      <c r="M2" t="s">
        <v>3634</v>
      </c>
      <c r="N2" t="s">
        <v>693</v>
      </c>
    </row>
    <row r="3" spans="1:14" ht="11.25" customHeight="1" x14ac:dyDescent="0.15">
      <c r="A3" t="s">
        <v>3627</v>
      </c>
      <c r="B3" t="s">
        <v>1</v>
      </c>
      <c r="C3" t="s">
        <v>3635</v>
      </c>
      <c r="D3" t="s">
        <v>3636</v>
      </c>
      <c r="E3" t="s">
        <v>3637</v>
      </c>
      <c r="F3" t="s">
        <v>3638</v>
      </c>
      <c r="G3" t="s">
        <v>4</v>
      </c>
      <c r="H3" t="s">
        <v>4</v>
      </c>
      <c r="I3" t="s">
        <v>3639</v>
      </c>
      <c r="J3" t="s">
        <v>4</v>
      </c>
      <c r="K3" t="s">
        <v>1159</v>
      </c>
      <c r="L3" t="s">
        <v>3633</v>
      </c>
      <c r="M3" t="s">
        <v>3634</v>
      </c>
      <c r="N3" t="s">
        <v>693</v>
      </c>
    </row>
    <row r="4" spans="1:14" ht="11.25" customHeight="1" x14ac:dyDescent="0.15">
      <c r="A4" t="s">
        <v>3627</v>
      </c>
      <c r="B4" t="s">
        <v>1</v>
      </c>
      <c r="C4" t="s">
        <v>3635</v>
      </c>
      <c r="D4" t="s">
        <v>3636</v>
      </c>
      <c r="E4" t="s">
        <v>3637</v>
      </c>
      <c r="F4" t="s">
        <v>3638</v>
      </c>
      <c r="G4" t="s">
        <v>4</v>
      </c>
      <c r="H4" t="s">
        <v>4</v>
      </c>
      <c r="I4" t="s">
        <v>3639</v>
      </c>
      <c r="J4" t="s">
        <v>4</v>
      </c>
      <c r="K4" t="s">
        <v>3640</v>
      </c>
      <c r="L4" t="s">
        <v>3641</v>
      </c>
      <c r="M4" t="s">
        <v>3642</v>
      </c>
      <c r="N4" t="s">
        <v>693</v>
      </c>
    </row>
    <row r="5" spans="1:14" ht="11.25" customHeight="1" x14ac:dyDescent="0.15">
      <c r="A5" t="s">
        <v>3627</v>
      </c>
      <c r="B5" t="s">
        <v>1</v>
      </c>
      <c r="C5" t="s">
        <v>3643</v>
      </c>
      <c r="D5" t="s">
        <v>3644</v>
      </c>
      <c r="E5" t="s">
        <v>3645</v>
      </c>
      <c r="F5" t="s">
        <v>3646</v>
      </c>
      <c r="G5" t="s">
        <v>4</v>
      </c>
      <c r="H5" t="s">
        <v>4</v>
      </c>
      <c r="I5" t="s">
        <v>3647</v>
      </c>
      <c r="J5" t="s">
        <v>4</v>
      </c>
      <c r="K5" t="s">
        <v>1063</v>
      </c>
      <c r="L5" t="s">
        <v>3648</v>
      </c>
      <c r="M5" t="s">
        <v>3649</v>
      </c>
      <c r="N5" t="s">
        <v>693</v>
      </c>
    </row>
    <row r="6" spans="1:14" ht="11.25" customHeight="1" x14ac:dyDescent="0.15">
      <c r="A6" t="s">
        <v>3627</v>
      </c>
      <c r="B6" t="s">
        <v>1</v>
      </c>
      <c r="C6" t="s">
        <v>3643</v>
      </c>
      <c r="D6" t="s">
        <v>3644</v>
      </c>
      <c r="E6" t="s">
        <v>3645</v>
      </c>
      <c r="F6" t="s">
        <v>3646</v>
      </c>
      <c r="G6" t="s">
        <v>4</v>
      </c>
      <c r="H6" t="s">
        <v>4</v>
      </c>
      <c r="I6" t="s">
        <v>3647</v>
      </c>
      <c r="J6" t="s">
        <v>4</v>
      </c>
      <c r="K6" t="s">
        <v>1159</v>
      </c>
      <c r="L6" t="s">
        <v>3648</v>
      </c>
      <c r="M6" t="s">
        <v>3649</v>
      </c>
      <c r="N6" t="s">
        <v>693</v>
      </c>
    </row>
    <row r="7" spans="1:14" ht="11.25" customHeight="1" x14ac:dyDescent="0.15">
      <c r="A7" t="s">
        <v>3627</v>
      </c>
      <c r="B7" t="s">
        <v>1</v>
      </c>
      <c r="C7" t="s">
        <v>3643</v>
      </c>
      <c r="D7" t="s">
        <v>3644</v>
      </c>
      <c r="E7" t="s">
        <v>3645</v>
      </c>
      <c r="F7" t="s">
        <v>3646</v>
      </c>
      <c r="G7" t="s">
        <v>4</v>
      </c>
      <c r="H7" t="s">
        <v>4</v>
      </c>
      <c r="I7" t="s">
        <v>3647</v>
      </c>
      <c r="J7" t="s">
        <v>4</v>
      </c>
      <c r="K7" t="s">
        <v>1126</v>
      </c>
      <c r="L7" t="s">
        <v>3648</v>
      </c>
      <c r="M7" t="s">
        <v>3649</v>
      </c>
      <c r="N7" t="s">
        <v>693</v>
      </c>
    </row>
    <row r="8" spans="1:14" ht="11.25" customHeight="1" x14ac:dyDescent="0.15">
      <c r="A8" t="s">
        <v>3627</v>
      </c>
      <c r="B8" t="s">
        <v>1</v>
      </c>
      <c r="C8" t="s">
        <v>3643</v>
      </c>
      <c r="D8" t="s">
        <v>3644</v>
      </c>
      <c r="E8" t="s">
        <v>3645</v>
      </c>
      <c r="F8" t="s">
        <v>3646</v>
      </c>
      <c r="G8" t="s">
        <v>4</v>
      </c>
      <c r="H8" t="s">
        <v>4</v>
      </c>
      <c r="I8" t="s">
        <v>3647</v>
      </c>
      <c r="J8" t="s">
        <v>4</v>
      </c>
      <c r="K8" t="s">
        <v>1063</v>
      </c>
      <c r="L8" t="s">
        <v>3650</v>
      </c>
      <c r="M8" t="s">
        <v>3651</v>
      </c>
      <c r="N8" t="s">
        <v>693</v>
      </c>
    </row>
    <row r="9" spans="1:14" ht="11.25" customHeight="1" x14ac:dyDescent="0.15">
      <c r="A9" t="s">
        <v>3627</v>
      </c>
      <c r="B9" t="s">
        <v>1</v>
      </c>
      <c r="C9" t="s">
        <v>3643</v>
      </c>
      <c r="D9" t="s">
        <v>3644</v>
      </c>
      <c r="E9" t="s">
        <v>3645</v>
      </c>
      <c r="F9" t="s">
        <v>3646</v>
      </c>
      <c r="G9" t="s">
        <v>4</v>
      </c>
      <c r="H9" t="s">
        <v>4</v>
      </c>
      <c r="I9" t="s">
        <v>3647</v>
      </c>
      <c r="J9" t="s">
        <v>4</v>
      </c>
      <c r="K9" t="s">
        <v>1126</v>
      </c>
      <c r="L9" t="s">
        <v>3650</v>
      </c>
      <c r="M9" t="s">
        <v>3651</v>
      </c>
      <c r="N9" t="s">
        <v>693</v>
      </c>
    </row>
    <row r="10" spans="1:14" ht="11.25" customHeight="1" x14ac:dyDescent="0.15">
      <c r="A10" t="s">
        <v>3627</v>
      </c>
      <c r="B10" t="s">
        <v>1</v>
      </c>
      <c r="C10" t="s">
        <v>3643</v>
      </c>
      <c r="D10" t="s">
        <v>3644</v>
      </c>
      <c r="E10" t="s">
        <v>3645</v>
      </c>
      <c r="F10" t="s">
        <v>3646</v>
      </c>
      <c r="G10" t="s">
        <v>4</v>
      </c>
      <c r="H10" t="s">
        <v>4</v>
      </c>
      <c r="I10" t="s">
        <v>3647</v>
      </c>
      <c r="J10" t="s">
        <v>4</v>
      </c>
      <c r="K10" t="s">
        <v>3652</v>
      </c>
      <c r="L10" t="s">
        <v>3653</v>
      </c>
      <c r="M10" t="s">
        <v>3654</v>
      </c>
      <c r="N10" t="s">
        <v>693</v>
      </c>
    </row>
    <row r="11" spans="1:14" ht="11.25" customHeight="1" x14ac:dyDescent="0.15">
      <c r="A11" t="s">
        <v>3627</v>
      </c>
      <c r="B11" t="s">
        <v>1</v>
      </c>
      <c r="C11" t="s">
        <v>3655</v>
      </c>
      <c r="D11" t="s">
        <v>3656</v>
      </c>
      <c r="E11" t="s">
        <v>3657</v>
      </c>
      <c r="F11" t="s">
        <v>3658</v>
      </c>
      <c r="G11" t="s">
        <v>4</v>
      </c>
      <c r="H11" t="s">
        <v>4</v>
      </c>
      <c r="I11" t="s">
        <v>3659</v>
      </c>
      <c r="J11" t="s">
        <v>4</v>
      </c>
      <c r="K11" t="s">
        <v>1159</v>
      </c>
      <c r="L11" t="s">
        <v>3633</v>
      </c>
      <c r="M11" t="s">
        <v>3634</v>
      </c>
      <c r="N11" t="s">
        <v>693</v>
      </c>
    </row>
    <row r="12" spans="1:14" ht="11.25" customHeight="1" x14ac:dyDescent="0.15">
      <c r="A12" t="s">
        <v>3627</v>
      </c>
      <c r="B12" t="s">
        <v>1</v>
      </c>
      <c r="C12" t="s">
        <v>3660</v>
      </c>
      <c r="D12" t="s">
        <v>3661</v>
      </c>
      <c r="E12" t="s">
        <v>3662</v>
      </c>
      <c r="F12" t="s">
        <v>3663</v>
      </c>
      <c r="G12" t="s">
        <v>3664</v>
      </c>
      <c r="H12" t="s">
        <v>4</v>
      </c>
      <c r="I12" t="s">
        <v>3665</v>
      </c>
      <c r="J12" t="s">
        <v>4</v>
      </c>
      <c r="K12" t="s">
        <v>1063</v>
      </c>
      <c r="L12" t="s">
        <v>3650</v>
      </c>
      <c r="M12" t="s">
        <v>3651</v>
      </c>
      <c r="N12" t="s">
        <v>693</v>
      </c>
    </row>
    <row r="13" spans="1:14" ht="11.25" customHeight="1" x14ac:dyDescent="0.15">
      <c r="A13" t="s">
        <v>3627</v>
      </c>
      <c r="B13" t="s">
        <v>1</v>
      </c>
      <c r="C13" t="s">
        <v>3660</v>
      </c>
      <c r="D13" t="s">
        <v>3661</v>
      </c>
      <c r="E13" t="s">
        <v>3662</v>
      </c>
      <c r="F13" t="s">
        <v>3663</v>
      </c>
      <c r="G13" t="s">
        <v>3664</v>
      </c>
      <c r="H13" t="s">
        <v>4</v>
      </c>
      <c r="I13" t="s">
        <v>3665</v>
      </c>
      <c r="J13" t="s">
        <v>4</v>
      </c>
      <c r="K13" t="s">
        <v>1126</v>
      </c>
      <c r="L13" t="s">
        <v>3650</v>
      </c>
      <c r="M13" t="s">
        <v>3651</v>
      </c>
      <c r="N13" t="s">
        <v>693</v>
      </c>
    </row>
    <row r="14" spans="1:14" ht="11.25" customHeight="1" x14ac:dyDescent="0.15">
      <c r="A14" t="s">
        <v>3627</v>
      </c>
      <c r="B14" t="s">
        <v>1</v>
      </c>
      <c r="C14" t="s">
        <v>3660</v>
      </c>
      <c r="D14" t="s">
        <v>3661</v>
      </c>
      <c r="E14" t="s">
        <v>3662</v>
      </c>
      <c r="F14" t="s">
        <v>3663</v>
      </c>
      <c r="G14" t="s">
        <v>3664</v>
      </c>
      <c r="H14" t="s">
        <v>4</v>
      </c>
      <c r="I14" t="s">
        <v>3665</v>
      </c>
      <c r="J14" t="s">
        <v>4</v>
      </c>
      <c r="K14" t="s">
        <v>3652</v>
      </c>
      <c r="L14" t="s">
        <v>3653</v>
      </c>
      <c r="M14" t="s">
        <v>3654</v>
      </c>
      <c r="N14" t="s">
        <v>693</v>
      </c>
    </row>
    <row r="15" spans="1:14" ht="11.25" customHeight="1" x14ac:dyDescent="0.15">
      <c r="A15" t="s">
        <v>3627</v>
      </c>
      <c r="B15" t="s">
        <v>1</v>
      </c>
      <c r="C15" t="s">
        <v>3666</v>
      </c>
      <c r="D15" t="s">
        <v>3667</v>
      </c>
      <c r="E15" t="s">
        <v>3668</v>
      </c>
      <c r="F15" t="s">
        <v>3669</v>
      </c>
      <c r="G15" t="s">
        <v>4</v>
      </c>
      <c r="H15" t="s">
        <v>4</v>
      </c>
      <c r="I15" t="s">
        <v>3670</v>
      </c>
      <c r="J15" t="s">
        <v>4</v>
      </c>
      <c r="K15" t="s">
        <v>1159</v>
      </c>
      <c r="L15" t="s">
        <v>3633</v>
      </c>
      <c r="M15" t="s">
        <v>3634</v>
      </c>
      <c r="N15" t="s">
        <v>693</v>
      </c>
    </row>
    <row r="16" spans="1:14" ht="11.25" customHeight="1" x14ac:dyDescent="0.15">
      <c r="A16" t="s">
        <v>3627</v>
      </c>
      <c r="B16" t="s">
        <v>1</v>
      </c>
      <c r="C16" t="s">
        <v>3671</v>
      </c>
      <c r="D16" t="s">
        <v>3672</v>
      </c>
      <c r="E16" t="s">
        <v>3673</v>
      </c>
      <c r="F16" t="s">
        <v>3674</v>
      </c>
      <c r="G16" t="s">
        <v>3675</v>
      </c>
      <c r="H16" t="s">
        <v>4</v>
      </c>
      <c r="I16" t="s">
        <v>3676</v>
      </c>
      <c r="J16" t="s">
        <v>4</v>
      </c>
      <c r="K16" t="s">
        <v>1184</v>
      </c>
      <c r="L16" t="s">
        <v>3677</v>
      </c>
      <c r="M16" t="s">
        <v>3678</v>
      </c>
      <c r="N16" t="s">
        <v>693</v>
      </c>
    </row>
    <row r="17" spans="1:14" ht="11.25" customHeight="1" x14ac:dyDescent="0.15">
      <c r="A17" t="s">
        <v>3627</v>
      </c>
      <c r="B17" t="s">
        <v>1</v>
      </c>
      <c r="C17" t="s">
        <v>3679</v>
      </c>
      <c r="D17" t="s">
        <v>3680</v>
      </c>
      <c r="E17" t="s">
        <v>3681</v>
      </c>
      <c r="F17" t="s">
        <v>3682</v>
      </c>
      <c r="G17" t="s">
        <v>3683</v>
      </c>
      <c r="H17" t="s">
        <v>4</v>
      </c>
      <c r="I17" t="s">
        <v>3684</v>
      </c>
      <c r="J17" t="s">
        <v>4</v>
      </c>
      <c r="K17" t="s">
        <v>1159</v>
      </c>
      <c r="L17" t="s">
        <v>3633</v>
      </c>
      <c r="M17" t="s">
        <v>3634</v>
      </c>
      <c r="N17" t="s">
        <v>693</v>
      </c>
    </row>
    <row r="18" spans="1:14" ht="11.25" customHeight="1" x14ac:dyDescent="0.15">
      <c r="A18" t="s">
        <v>3627</v>
      </c>
      <c r="B18" t="s">
        <v>1</v>
      </c>
      <c r="C18" t="s">
        <v>3685</v>
      </c>
      <c r="D18" t="s">
        <v>3686</v>
      </c>
      <c r="E18" t="s">
        <v>3687</v>
      </c>
      <c r="F18" t="s">
        <v>3688</v>
      </c>
      <c r="G18" t="s">
        <v>4</v>
      </c>
      <c r="H18" t="s">
        <v>4</v>
      </c>
      <c r="I18" t="s">
        <v>3689</v>
      </c>
      <c r="J18" t="s">
        <v>4</v>
      </c>
      <c r="K18" t="s">
        <v>1159</v>
      </c>
      <c r="L18" t="s">
        <v>3633</v>
      </c>
      <c r="M18" t="s">
        <v>3634</v>
      </c>
      <c r="N18" t="s">
        <v>693</v>
      </c>
    </row>
    <row r="19" spans="1:14" ht="11.25" customHeight="1" x14ac:dyDescent="0.15">
      <c r="A19" t="s">
        <v>3627</v>
      </c>
      <c r="B19" t="s">
        <v>1</v>
      </c>
      <c r="C19" t="s">
        <v>3690</v>
      </c>
      <c r="D19" t="s">
        <v>3691</v>
      </c>
      <c r="E19" t="s">
        <v>3692</v>
      </c>
      <c r="F19" t="s">
        <v>3693</v>
      </c>
      <c r="G19" t="s">
        <v>3694</v>
      </c>
      <c r="H19" t="s">
        <v>4</v>
      </c>
      <c r="I19" t="s">
        <v>3684</v>
      </c>
      <c r="J19" t="s">
        <v>4</v>
      </c>
      <c r="K19" t="s">
        <v>1063</v>
      </c>
      <c r="L19" t="s">
        <v>3650</v>
      </c>
      <c r="M19" t="s">
        <v>3651</v>
      </c>
      <c r="N19" t="s">
        <v>693</v>
      </c>
    </row>
    <row r="20" spans="1:14" ht="11.25" customHeight="1" x14ac:dyDescent="0.15">
      <c r="A20" t="s">
        <v>3627</v>
      </c>
      <c r="B20" t="s">
        <v>1</v>
      </c>
      <c r="C20" t="s">
        <v>3690</v>
      </c>
      <c r="D20" t="s">
        <v>3691</v>
      </c>
      <c r="E20" t="s">
        <v>3692</v>
      </c>
      <c r="F20" t="s">
        <v>3693</v>
      </c>
      <c r="G20" t="s">
        <v>3694</v>
      </c>
      <c r="H20" t="s">
        <v>4</v>
      </c>
      <c r="I20" t="s">
        <v>3684</v>
      </c>
      <c r="J20" t="s">
        <v>4</v>
      </c>
      <c r="K20" t="s">
        <v>1126</v>
      </c>
      <c r="L20" t="s">
        <v>3650</v>
      </c>
      <c r="M20" t="s">
        <v>3651</v>
      </c>
      <c r="N20" t="s">
        <v>693</v>
      </c>
    </row>
    <row r="21" spans="1:14" ht="11.25" customHeight="1" x14ac:dyDescent="0.15">
      <c r="A21" t="s">
        <v>3627</v>
      </c>
      <c r="B21" t="s">
        <v>1</v>
      </c>
      <c r="C21" t="s">
        <v>3695</v>
      </c>
      <c r="D21" t="s">
        <v>3696</v>
      </c>
      <c r="E21" t="s">
        <v>3697</v>
      </c>
      <c r="F21" t="s">
        <v>3698</v>
      </c>
      <c r="G21" t="s">
        <v>4</v>
      </c>
      <c r="H21" t="s">
        <v>4</v>
      </c>
      <c r="I21" t="s">
        <v>3699</v>
      </c>
      <c r="J21" t="s">
        <v>4</v>
      </c>
      <c r="K21" t="s">
        <v>1159</v>
      </c>
      <c r="L21" t="s">
        <v>3633</v>
      </c>
      <c r="M21" t="s">
        <v>3634</v>
      </c>
      <c r="N21" t="s">
        <v>693</v>
      </c>
    </row>
    <row r="22" spans="1:14" ht="11.25" customHeight="1" x14ac:dyDescent="0.15">
      <c r="A22" t="s">
        <v>3627</v>
      </c>
      <c r="B22" t="s">
        <v>1</v>
      </c>
      <c r="C22" t="s">
        <v>3700</v>
      </c>
      <c r="D22" t="s">
        <v>3701</v>
      </c>
      <c r="E22" t="s">
        <v>3702</v>
      </c>
      <c r="F22" t="s">
        <v>3693</v>
      </c>
      <c r="G22" t="s">
        <v>4</v>
      </c>
      <c r="H22" t="s">
        <v>4</v>
      </c>
      <c r="I22" t="s">
        <v>3703</v>
      </c>
      <c r="J22" t="s">
        <v>4</v>
      </c>
      <c r="K22" t="s">
        <v>1159</v>
      </c>
      <c r="L22" t="s">
        <v>3633</v>
      </c>
      <c r="M22" t="s">
        <v>3634</v>
      </c>
      <c r="N22" t="s">
        <v>693</v>
      </c>
    </row>
    <row r="23" spans="1:14" ht="11.25" customHeight="1" x14ac:dyDescent="0.15">
      <c r="A23" t="s">
        <v>3627</v>
      </c>
      <c r="B23" t="s">
        <v>1</v>
      </c>
      <c r="C23" t="s">
        <v>3704</v>
      </c>
      <c r="D23" t="s">
        <v>3705</v>
      </c>
      <c r="E23" t="s">
        <v>3706</v>
      </c>
      <c r="F23" t="s">
        <v>3707</v>
      </c>
      <c r="G23" t="s">
        <v>4</v>
      </c>
      <c r="H23" t="s">
        <v>4</v>
      </c>
      <c r="I23" t="s">
        <v>3708</v>
      </c>
      <c r="J23" t="s">
        <v>4</v>
      </c>
      <c r="K23" t="s">
        <v>1203</v>
      </c>
      <c r="L23" t="s">
        <v>3709</v>
      </c>
      <c r="M23" t="s">
        <v>3710</v>
      </c>
      <c r="N23" t="s">
        <v>693</v>
      </c>
    </row>
    <row r="24" spans="1:14" ht="11.25" customHeight="1" x14ac:dyDescent="0.15">
      <c r="A24" t="s">
        <v>3627</v>
      </c>
      <c r="B24" t="s">
        <v>1</v>
      </c>
      <c r="C24" t="s">
        <v>3711</v>
      </c>
      <c r="D24" t="s">
        <v>3712</v>
      </c>
      <c r="E24" t="s">
        <v>3713</v>
      </c>
      <c r="F24" t="s">
        <v>3714</v>
      </c>
      <c r="G24" t="s">
        <v>4</v>
      </c>
      <c r="H24" t="s">
        <v>4</v>
      </c>
      <c r="I24" t="s">
        <v>3715</v>
      </c>
      <c r="J24" t="s">
        <v>4</v>
      </c>
      <c r="K24" t="s">
        <v>1159</v>
      </c>
      <c r="L24" t="s">
        <v>3633</v>
      </c>
      <c r="M24" t="s">
        <v>3634</v>
      </c>
      <c r="N24" t="s">
        <v>693</v>
      </c>
    </row>
    <row r="25" spans="1:14" ht="11.25" customHeight="1" x14ac:dyDescent="0.15">
      <c r="A25" t="s">
        <v>3627</v>
      </c>
      <c r="B25" t="s">
        <v>1</v>
      </c>
      <c r="C25" t="s">
        <v>3711</v>
      </c>
      <c r="D25" t="s">
        <v>3712</v>
      </c>
      <c r="E25" t="s">
        <v>3713</v>
      </c>
      <c r="F25" t="s">
        <v>3714</v>
      </c>
      <c r="G25" t="s">
        <v>4</v>
      </c>
      <c r="H25" t="s">
        <v>4</v>
      </c>
      <c r="I25" t="s">
        <v>3716</v>
      </c>
      <c r="J25" t="s">
        <v>4</v>
      </c>
      <c r="K25" t="s">
        <v>1159</v>
      </c>
      <c r="L25" t="s">
        <v>3633</v>
      </c>
      <c r="M25" t="s">
        <v>3634</v>
      </c>
      <c r="N25" t="s">
        <v>693</v>
      </c>
    </row>
    <row r="26" spans="1:14" ht="11.25" customHeight="1" x14ac:dyDescent="0.15">
      <c r="A26" t="s">
        <v>3627</v>
      </c>
      <c r="B26" t="s">
        <v>1</v>
      </c>
      <c r="C26" t="s">
        <v>3711</v>
      </c>
      <c r="D26" t="s">
        <v>3712</v>
      </c>
      <c r="E26" t="s">
        <v>3713</v>
      </c>
      <c r="F26" t="s">
        <v>3714</v>
      </c>
      <c r="G26" t="s">
        <v>4</v>
      </c>
      <c r="H26" t="s">
        <v>4</v>
      </c>
      <c r="I26" t="s">
        <v>3647</v>
      </c>
      <c r="J26" t="s">
        <v>4</v>
      </c>
      <c r="K26" t="s">
        <v>1159</v>
      </c>
      <c r="L26" t="s">
        <v>3633</v>
      </c>
      <c r="M26" t="s">
        <v>3634</v>
      </c>
      <c r="N26" t="s">
        <v>693</v>
      </c>
    </row>
    <row r="27" spans="1:14" ht="11.25" customHeight="1" x14ac:dyDescent="0.15">
      <c r="A27" t="s">
        <v>3627</v>
      </c>
      <c r="B27" t="s">
        <v>1</v>
      </c>
      <c r="C27" t="s">
        <v>3711</v>
      </c>
      <c r="D27" t="s">
        <v>3712</v>
      </c>
      <c r="E27" t="s">
        <v>3713</v>
      </c>
      <c r="F27" t="s">
        <v>3714</v>
      </c>
      <c r="G27" t="s">
        <v>4</v>
      </c>
      <c r="H27" t="s">
        <v>4</v>
      </c>
      <c r="I27" t="s">
        <v>3717</v>
      </c>
      <c r="J27" t="s">
        <v>4</v>
      </c>
      <c r="K27" t="s">
        <v>1159</v>
      </c>
      <c r="L27" t="s">
        <v>3633</v>
      </c>
      <c r="M27" t="s">
        <v>3634</v>
      </c>
      <c r="N27" t="s">
        <v>693</v>
      </c>
    </row>
    <row r="28" spans="1:14" ht="11.25" customHeight="1" x14ac:dyDescent="0.15">
      <c r="A28" t="s">
        <v>3627</v>
      </c>
      <c r="B28" t="s">
        <v>1</v>
      </c>
      <c r="C28" t="s">
        <v>3711</v>
      </c>
      <c r="D28" t="s">
        <v>3712</v>
      </c>
      <c r="E28" t="s">
        <v>3713</v>
      </c>
      <c r="F28" t="s">
        <v>3714</v>
      </c>
      <c r="G28" t="s">
        <v>4</v>
      </c>
      <c r="H28" t="s">
        <v>4</v>
      </c>
      <c r="I28" t="s">
        <v>3639</v>
      </c>
      <c r="J28" t="s">
        <v>4</v>
      </c>
      <c r="K28" t="s">
        <v>1159</v>
      </c>
      <c r="L28" t="s">
        <v>3633</v>
      </c>
      <c r="M28" t="s">
        <v>3634</v>
      </c>
      <c r="N28" t="s">
        <v>693</v>
      </c>
    </row>
    <row r="29" spans="1:14" ht="11.25" customHeight="1" x14ac:dyDescent="0.15">
      <c r="A29" t="s">
        <v>3627</v>
      </c>
      <c r="B29" t="s">
        <v>1</v>
      </c>
      <c r="C29" t="s">
        <v>3718</v>
      </c>
      <c r="D29" t="s">
        <v>3719</v>
      </c>
      <c r="E29" t="s">
        <v>3720</v>
      </c>
      <c r="F29" t="s">
        <v>3721</v>
      </c>
      <c r="G29" t="s">
        <v>3722</v>
      </c>
      <c r="H29" t="s">
        <v>4</v>
      </c>
      <c r="I29" t="s">
        <v>3647</v>
      </c>
      <c r="J29" t="s">
        <v>4</v>
      </c>
      <c r="K29" t="s">
        <v>1203</v>
      </c>
      <c r="L29" t="s">
        <v>3709</v>
      </c>
      <c r="M29" t="s">
        <v>3710</v>
      </c>
      <c r="N29" t="s">
        <v>693</v>
      </c>
    </row>
    <row r="30" spans="1:14" ht="11.25" customHeight="1" x14ac:dyDescent="0.15">
      <c r="A30" t="s">
        <v>3627</v>
      </c>
      <c r="B30" t="s">
        <v>1</v>
      </c>
      <c r="C30" t="s">
        <v>3723</v>
      </c>
      <c r="D30" t="s">
        <v>3724</v>
      </c>
      <c r="E30" t="s">
        <v>3725</v>
      </c>
      <c r="F30" t="s">
        <v>1685</v>
      </c>
      <c r="G30" t="s">
        <v>3726</v>
      </c>
      <c r="H30" t="s">
        <v>4</v>
      </c>
      <c r="I30" t="s">
        <v>3727</v>
      </c>
      <c r="J30" t="s">
        <v>4</v>
      </c>
      <c r="K30" t="s">
        <v>1159</v>
      </c>
      <c r="L30" t="s">
        <v>3633</v>
      </c>
      <c r="M30" t="s">
        <v>3634</v>
      </c>
      <c r="N30" t="s">
        <v>693</v>
      </c>
    </row>
    <row r="31" spans="1:14" ht="11.25" customHeight="1" x14ac:dyDescent="0.15">
      <c r="A31" t="s">
        <v>3627</v>
      </c>
      <c r="B31" t="s">
        <v>1</v>
      </c>
      <c r="C31" t="s">
        <v>3728</v>
      </c>
      <c r="D31" t="s">
        <v>3729</v>
      </c>
      <c r="E31" t="s">
        <v>3730</v>
      </c>
      <c r="F31" t="s">
        <v>3682</v>
      </c>
      <c r="G31" t="s">
        <v>4</v>
      </c>
      <c r="H31" t="s">
        <v>4</v>
      </c>
      <c r="I31" t="s">
        <v>3632</v>
      </c>
      <c r="J31" t="s">
        <v>4</v>
      </c>
      <c r="K31" t="s">
        <v>1159</v>
      </c>
      <c r="L31" t="s">
        <v>3633</v>
      </c>
      <c r="M31" t="s">
        <v>3634</v>
      </c>
      <c r="N31" t="s">
        <v>693</v>
      </c>
    </row>
    <row r="32" spans="1:14" ht="11.25" customHeight="1" x14ac:dyDescent="0.15">
      <c r="A32" t="s">
        <v>3627</v>
      </c>
      <c r="B32" t="s">
        <v>1</v>
      </c>
      <c r="C32" t="s">
        <v>3731</v>
      </c>
      <c r="D32" t="s">
        <v>3732</v>
      </c>
      <c r="E32" t="s">
        <v>3733</v>
      </c>
      <c r="F32" t="s">
        <v>3734</v>
      </c>
      <c r="G32" t="s">
        <v>3735</v>
      </c>
      <c r="H32" t="s">
        <v>4</v>
      </c>
      <c r="I32" t="s">
        <v>3736</v>
      </c>
      <c r="J32" t="s">
        <v>4</v>
      </c>
      <c r="K32" t="s">
        <v>1203</v>
      </c>
      <c r="L32" t="s">
        <v>3709</v>
      </c>
      <c r="M32" t="s">
        <v>3710</v>
      </c>
      <c r="N32" t="s">
        <v>693</v>
      </c>
    </row>
    <row r="33" spans="1:14" ht="11.25" customHeight="1" x14ac:dyDescent="0.15">
      <c r="A33" t="s">
        <v>3627</v>
      </c>
      <c r="B33" t="s">
        <v>1</v>
      </c>
      <c r="C33" t="s">
        <v>3737</v>
      </c>
      <c r="D33" t="s">
        <v>3738</v>
      </c>
      <c r="E33" t="s">
        <v>3739</v>
      </c>
      <c r="F33" t="s">
        <v>3740</v>
      </c>
      <c r="G33" t="s">
        <v>4</v>
      </c>
      <c r="H33" t="s">
        <v>4</v>
      </c>
      <c r="I33" t="s">
        <v>3741</v>
      </c>
      <c r="J33" t="s">
        <v>4</v>
      </c>
      <c r="K33" t="s">
        <v>1063</v>
      </c>
      <c r="L33" t="s">
        <v>3742</v>
      </c>
      <c r="M33" t="s">
        <v>3743</v>
      </c>
      <c r="N33" t="s">
        <v>693</v>
      </c>
    </row>
    <row r="34" spans="1:14" ht="11.25" customHeight="1" x14ac:dyDescent="0.15">
      <c r="A34" t="s">
        <v>3627</v>
      </c>
      <c r="B34" t="s">
        <v>1</v>
      </c>
      <c r="C34" t="s">
        <v>3737</v>
      </c>
      <c r="D34" t="s">
        <v>3738</v>
      </c>
      <c r="E34" t="s">
        <v>3739</v>
      </c>
      <c r="F34" t="s">
        <v>3740</v>
      </c>
      <c r="G34" t="s">
        <v>4</v>
      </c>
      <c r="H34" t="s">
        <v>4</v>
      </c>
      <c r="I34" t="s">
        <v>3744</v>
      </c>
      <c r="J34" t="s">
        <v>4</v>
      </c>
      <c r="K34" t="s">
        <v>1184</v>
      </c>
      <c r="L34" t="s">
        <v>3677</v>
      </c>
      <c r="M34" t="s">
        <v>3678</v>
      </c>
      <c r="N34" t="s">
        <v>693</v>
      </c>
    </row>
    <row r="35" spans="1:14" ht="11.25" customHeight="1" x14ac:dyDescent="0.15">
      <c r="A35" t="s">
        <v>3627</v>
      </c>
      <c r="B35" t="s">
        <v>1</v>
      </c>
      <c r="C35" t="s">
        <v>3737</v>
      </c>
      <c r="D35" t="s">
        <v>3738</v>
      </c>
      <c r="E35" t="s">
        <v>3739</v>
      </c>
      <c r="F35" t="s">
        <v>3740</v>
      </c>
      <c r="G35" t="s">
        <v>4</v>
      </c>
      <c r="H35" t="s">
        <v>4</v>
      </c>
      <c r="I35" t="s">
        <v>3744</v>
      </c>
      <c r="J35" t="s">
        <v>4</v>
      </c>
      <c r="K35" t="s">
        <v>3745</v>
      </c>
      <c r="L35" t="s">
        <v>3746</v>
      </c>
      <c r="M35" t="s">
        <v>3747</v>
      </c>
      <c r="N35" t="s">
        <v>693</v>
      </c>
    </row>
    <row r="36" spans="1:14" ht="11.25" customHeight="1" x14ac:dyDescent="0.15">
      <c r="A36" t="s">
        <v>3627</v>
      </c>
      <c r="B36" t="s">
        <v>1</v>
      </c>
      <c r="C36" t="s">
        <v>3748</v>
      </c>
      <c r="D36" t="s">
        <v>3749</v>
      </c>
      <c r="E36" t="s">
        <v>3750</v>
      </c>
      <c r="F36" t="s">
        <v>3682</v>
      </c>
      <c r="G36" t="s">
        <v>4</v>
      </c>
      <c r="H36" t="s">
        <v>4</v>
      </c>
      <c r="I36" t="s">
        <v>3751</v>
      </c>
      <c r="J36" t="s">
        <v>4</v>
      </c>
      <c r="K36" t="s">
        <v>1159</v>
      </c>
      <c r="L36" t="s">
        <v>3633</v>
      </c>
      <c r="M36" t="s">
        <v>3634</v>
      </c>
      <c r="N36" t="s">
        <v>693</v>
      </c>
    </row>
    <row r="37" spans="1:14" ht="11.25" customHeight="1" x14ac:dyDescent="0.15">
      <c r="A37" t="s">
        <v>3627</v>
      </c>
      <c r="B37" t="s">
        <v>1</v>
      </c>
      <c r="C37" t="s">
        <v>3752</v>
      </c>
      <c r="D37" t="s">
        <v>32</v>
      </c>
      <c r="E37" t="s">
        <v>35</v>
      </c>
      <c r="F37" t="s">
        <v>37</v>
      </c>
      <c r="G37" t="s">
        <v>4</v>
      </c>
      <c r="H37" t="s">
        <v>4</v>
      </c>
      <c r="I37" t="s">
        <v>3632</v>
      </c>
      <c r="J37" t="s">
        <v>4</v>
      </c>
      <c r="K37" t="s">
        <v>1184</v>
      </c>
      <c r="L37" t="s">
        <v>3677</v>
      </c>
      <c r="M37" t="s">
        <v>3678</v>
      </c>
      <c r="N37" t="s">
        <v>693</v>
      </c>
    </row>
    <row r="38" spans="1:14" ht="11.25" customHeight="1" x14ac:dyDescent="0.15">
      <c r="A38" t="s">
        <v>3627</v>
      </c>
      <c r="B38" t="s">
        <v>1</v>
      </c>
      <c r="C38" t="s">
        <v>3752</v>
      </c>
      <c r="D38" t="s">
        <v>32</v>
      </c>
      <c r="E38" t="s">
        <v>35</v>
      </c>
      <c r="F38" t="s">
        <v>37</v>
      </c>
      <c r="G38" t="s">
        <v>4</v>
      </c>
      <c r="H38" t="s">
        <v>4</v>
      </c>
      <c r="I38" t="s">
        <v>3744</v>
      </c>
      <c r="J38" t="s">
        <v>4</v>
      </c>
      <c r="K38" t="s">
        <v>1184</v>
      </c>
      <c r="L38" t="s">
        <v>3677</v>
      </c>
      <c r="M38" t="s">
        <v>3678</v>
      </c>
      <c r="N38" t="s">
        <v>693</v>
      </c>
    </row>
    <row r="39" spans="1:14" ht="11.25" customHeight="1" x14ac:dyDescent="0.15">
      <c r="A39" t="s">
        <v>3627</v>
      </c>
      <c r="B39" t="s">
        <v>1</v>
      </c>
      <c r="C39" t="s">
        <v>3752</v>
      </c>
      <c r="D39" t="s">
        <v>32</v>
      </c>
      <c r="E39" t="s">
        <v>35</v>
      </c>
      <c r="F39" t="s">
        <v>37</v>
      </c>
      <c r="G39" t="s">
        <v>4</v>
      </c>
      <c r="H39" t="s">
        <v>4</v>
      </c>
      <c r="I39" t="s">
        <v>3676</v>
      </c>
      <c r="J39" t="s">
        <v>4</v>
      </c>
      <c r="K39" t="s">
        <v>1159</v>
      </c>
      <c r="L39" t="s">
        <v>3633</v>
      </c>
      <c r="M39" t="s">
        <v>3634</v>
      </c>
      <c r="N39" t="s">
        <v>693</v>
      </c>
    </row>
    <row r="40" spans="1:14" ht="11.25" customHeight="1" x14ac:dyDescent="0.15">
      <c r="A40" t="s">
        <v>3627</v>
      </c>
      <c r="B40" t="s">
        <v>1</v>
      </c>
      <c r="C40" t="s">
        <v>3752</v>
      </c>
      <c r="D40" t="s">
        <v>32</v>
      </c>
      <c r="E40" t="s">
        <v>35</v>
      </c>
      <c r="F40" t="s">
        <v>37</v>
      </c>
      <c r="G40" t="s">
        <v>4</v>
      </c>
      <c r="H40" t="s">
        <v>4</v>
      </c>
      <c r="I40" t="s">
        <v>3716</v>
      </c>
      <c r="J40" t="s">
        <v>4</v>
      </c>
      <c r="K40" t="s">
        <v>1184</v>
      </c>
      <c r="L40" t="s">
        <v>3677</v>
      </c>
      <c r="M40" t="s">
        <v>3678</v>
      </c>
      <c r="N40" t="s">
        <v>693</v>
      </c>
    </row>
    <row r="41" spans="1:14" ht="11.25" customHeight="1" x14ac:dyDescent="0.15">
      <c r="A41" t="s">
        <v>3627</v>
      </c>
      <c r="B41" t="s">
        <v>1</v>
      </c>
      <c r="C41" t="s">
        <v>3752</v>
      </c>
      <c r="D41" t="s">
        <v>32</v>
      </c>
      <c r="E41" t="s">
        <v>35</v>
      </c>
      <c r="F41" t="s">
        <v>37</v>
      </c>
      <c r="G41" t="s">
        <v>4</v>
      </c>
      <c r="H41" t="s">
        <v>4</v>
      </c>
      <c r="I41" t="s">
        <v>3753</v>
      </c>
      <c r="J41" t="s">
        <v>4</v>
      </c>
      <c r="K41" t="s">
        <v>1159</v>
      </c>
      <c r="L41" t="s">
        <v>3633</v>
      </c>
      <c r="M41" t="s">
        <v>3634</v>
      </c>
      <c r="N41" t="s">
        <v>693</v>
      </c>
    </row>
    <row r="42" spans="1:14" ht="11.25" customHeight="1" x14ac:dyDescent="0.15">
      <c r="A42" t="s">
        <v>3627</v>
      </c>
      <c r="B42" t="s">
        <v>1</v>
      </c>
      <c r="C42" t="s">
        <v>3752</v>
      </c>
      <c r="D42" t="s">
        <v>32</v>
      </c>
      <c r="E42" t="s">
        <v>35</v>
      </c>
      <c r="F42" t="s">
        <v>37</v>
      </c>
      <c r="G42" t="s">
        <v>4</v>
      </c>
      <c r="H42" t="s">
        <v>4</v>
      </c>
      <c r="I42" t="s">
        <v>3754</v>
      </c>
      <c r="J42" t="s">
        <v>4</v>
      </c>
      <c r="K42" t="s">
        <v>1159</v>
      </c>
      <c r="L42" t="s">
        <v>3633</v>
      </c>
      <c r="M42" t="s">
        <v>3634</v>
      </c>
      <c r="N42" t="s">
        <v>693</v>
      </c>
    </row>
    <row r="43" spans="1:14" ht="11.25" customHeight="1" x14ac:dyDescent="0.15">
      <c r="A43" t="s">
        <v>3627</v>
      </c>
      <c r="B43" t="s">
        <v>1</v>
      </c>
      <c r="C43" t="s">
        <v>3752</v>
      </c>
      <c r="D43" t="s">
        <v>32</v>
      </c>
      <c r="E43" t="s">
        <v>35</v>
      </c>
      <c r="F43" t="s">
        <v>37</v>
      </c>
      <c r="G43" t="s">
        <v>4</v>
      </c>
      <c r="H43" t="s">
        <v>4</v>
      </c>
      <c r="I43" t="s">
        <v>3647</v>
      </c>
      <c r="J43" t="s">
        <v>4</v>
      </c>
      <c r="K43" t="s">
        <v>1184</v>
      </c>
      <c r="L43" t="s">
        <v>3677</v>
      </c>
      <c r="M43" t="s">
        <v>3678</v>
      </c>
      <c r="N43" t="s">
        <v>693</v>
      </c>
    </row>
    <row r="44" spans="1:14" ht="11.25" customHeight="1" x14ac:dyDescent="0.15">
      <c r="A44" t="s">
        <v>3627</v>
      </c>
      <c r="B44" t="s">
        <v>1</v>
      </c>
      <c r="C44" t="s">
        <v>3752</v>
      </c>
      <c r="D44" t="s">
        <v>32</v>
      </c>
      <c r="E44" t="s">
        <v>35</v>
      </c>
      <c r="F44" t="s">
        <v>37</v>
      </c>
      <c r="G44" t="s">
        <v>4</v>
      </c>
      <c r="H44" t="s">
        <v>4</v>
      </c>
      <c r="I44" t="s">
        <v>3639</v>
      </c>
      <c r="J44" t="s">
        <v>4</v>
      </c>
      <c r="K44" t="s">
        <v>1159</v>
      </c>
      <c r="L44" t="s">
        <v>3633</v>
      </c>
      <c r="M44" t="s">
        <v>3634</v>
      </c>
      <c r="N44" t="s">
        <v>693</v>
      </c>
    </row>
    <row r="45" spans="1:14" ht="11.25" customHeight="1" x14ac:dyDescent="0.15">
      <c r="A45" t="s">
        <v>3627</v>
      </c>
      <c r="B45" t="s">
        <v>1</v>
      </c>
      <c r="C45" t="s">
        <v>3755</v>
      </c>
      <c r="D45" t="s">
        <v>3756</v>
      </c>
      <c r="E45" t="s">
        <v>3757</v>
      </c>
      <c r="F45" t="s">
        <v>3758</v>
      </c>
      <c r="G45" t="s">
        <v>3759</v>
      </c>
      <c r="H45" t="s">
        <v>4</v>
      </c>
      <c r="I45" t="s">
        <v>3760</v>
      </c>
      <c r="J45" t="s">
        <v>4</v>
      </c>
      <c r="K45" t="s">
        <v>1219</v>
      </c>
      <c r="L45" t="s">
        <v>3761</v>
      </c>
      <c r="M45" t="s">
        <v>3762</v>
      </c>
      <c r="N45" t="s">
        <v>693</v>
      </c>
    </row>
    <row r="46" spans="1:14" ht="11.25" customHeight="1" x14ac:dyDescent="0.15">
      <c r="A46" t="s">
        <v>3627</v>
      </c>
      <c r="B46" t="s">
        <v>1</v>
      </c>
      <c r="C46" t="s">
        <v>3763</v>
      </c>
      <c r="D46" t="s">
        <v>3764</v>
      </c>
      <c r="E46" t="s">
        <v>3765</v>
      </c>
      <c r="F46" t="s">
        <v>3766</v>
      </c>
      <c r="G46" t="s">
        <v>4</v>
      </c>
      <c r="H46" t="s">
        <v>4</v>
      </c>
      <c r="I46" t="s">
        <v>3767</v>
      </c>
      <c r="J46" t="s">
        <v>4</v>
      </c>
      <c r="K46" t="s">
        <v>1219</v>
      </c>
      <c r="L46" t="s">
        <v>3761</v>
      </c>
      <c r="M46" t="s">
        <v>3762</v>
      </c>
      <c r="N46" t="s">
        <v>693</v>
      </c>
    </row>
    <row r="47" spans="1:14" ht="11.25" customHeight="1" x14ac:dyDescent="0.15">
      <c r="A47" t="s">
        <v>3627</v>
      </c>
      <c r="B47" t="s">
        <v>1</v>
      </c>
      <c r="C47" t="s">
        <v>3763</v>
      </c>
      <c r="D47" t="s">
        <v>3764</v>
      </c>
      <c r="E47" t="s">
        <v>3765</v>
      </c>
      <c r="F47" t="s">
        <v>3766</v>
      </c>
      <c r="G47" t="s">
        <v>4</v>
      </c>
      <c r="H47" t="s">
        <v>4</v>
      </c>
      <c r="I47" t="s">
        <v>3767</v>
      </c>
      <c r="J47" t="s">
        <v>4</v>
      </c>
      <c r="K47" t="s">
        <v>1063</v>
      </c>
      <c r="L47" t="s">
        <v>3768</v>
      </c>
      <c r="M47" t="s">
        <v>3769</v>
      </c>
      <c r="N47" t="s">
        <v>693</v>
      </c>
    </row>
    <row r="48" spans="1:14" ht="11.25" customHeight="1" x14ac:dyDescent="0.15">
      <c r="A48" t="s">
        <v>3627</v>
      </c>
      <c r="B48" t="s">
        <v>1</v>
      </c>
      <c r="C48" t="s">
        <v>3770</v>
      </c>
      <c r="D48" t="s">
        <v>3771</v>
      </c>
      <c r="E48" t="s">
        <v>3772</v>
      </c>
      <c r="F48" t="s">
        <v>3766</v>
      </c>
      <c r="G48" t="s">
        <v>4</v>
      </c>
      <c r="H48" t="s">
        <v>4</v>
      </c>
      <c r="I48" t="s">
        <v>3754</v>
      </c>
      <c r="J48" t="s">
        <v>4</v>
      </c>
      <c r="K48" t="s">
        <v>1159</v>
      </c>
      <c r="L48" t="s">
        <v>3633</v>
      </c>
      <c r="M48" t="s">
        <v>3634</v>
      </c>
      <c r="N48" t="s">
        <v>693</v>
      </c>
    </row>
    <row r="49" spans="1:14" ht="11.25" customHeight="1" x14ac:dyDescent="0.15">
      <c r="A49" t="s">
        <v>3627</v>
      </c>
      <c r="B49" t="s">
        <v>1</v>
      </c>
      <c r="C49" t="s">
        <v>3773</v>
      </c>
      <c r="D49" t="s">
        <v>3774</v>
      </c>
      <c r="E49" t="s">
        <v>3775</v>
      </c>
      <c r="F49" t="s">
        <v>37</v>
      </c>
      <c r="G49" t="s">
        <v>4</v>
      </c>
      <c r="H49" t="s">
        <v>4</v>
      </c>
      <c r="I49" t="s">
        <v>3776</v>
      </c>
      <c r="J49" t="s">
        <v>4</v>
      </c>
      <c r="K49" t="s">
        <v>1090</v>
      </c>
      <c r="L49" t="s">
        <v>1090</v>
      </c>
      <c r="M49" t="s">
        <v>3777</v>
      </c>
      <c r="N49" t="s">
        <v>693</v>
      </c>
    </row>
    <row r="50" spans="1:14" ht="11.25" customHeight="1" x14ac:dyDescent="0.15">
      <c r="A50" t="s">
        <v>3627</v>
      </c>
      <c r="B50" t="s">
        <v>1</v>
      </c>
      <c r="C50" t="s">
        <v>3778</v>
      </c>
      <c r="D50" t="s">
        <v>3779</v>
      </c>
      <c r="E50" t="s">
        <v>3780</v>
      </c>
      <c r="F50" t="s">
        <v>3781</v>
      </c>
      <c r="G50" t="s">
        <v>4</v>
      </c>
      <c r="H50" t="s">
        <v>4</v>
      </c>
      <c r="I50" t="s">
        <v>3782</v>
      </c>
      <c r="J50" t="s">
        <v>4</v>
      </c>
      <c r="K50" t="s">
        <v>1159</v>
      </c>
      <c r="L50" t="s">
        <v>3633</v>
      </c>
      <c r="M50" t="s">
        <v>3634</v>
      </c>
      <c r="N50" t="s">
        <v>693</v>
      </c>
    </row>
    <row r="51" spans="1:14" ht="11.25" customHeight="1" x14ac:dyDescent="0.15">
      <c r="A51" t="s">
        <v>3627</v>
      </c>
      <c r="B51" t="s">
        <v>1</v>
      </c>
      <c r="C51" t="s">
        <v>3783</v>
      </c>
      <c r="D51" t="s">
        <v>3784</v>
      </c>
      <c r="E51" t="s">
        <v>3785</v>
      </c>
      <c r="F51" t="s">
        <v>3786</v>
      </c>
      <c r="G51" t="s">
        <v>4</v>
      </c>
      <c r="H51" t="s">
        <v>4</v>
      </c>
      <c r="I51" t="s">
        <v>3632</v>
      </c>
      <c r="J51" t="s">
        <v>4</v>
      </c>
      <c r="K51" t="s">
        <v>1184</v>
      </c>
      <c r="L51" t="s">
        <v>3677</v>
      </c>
      <c r="M51" t="s">
        <v>3678</v>
      </c>
      <c r="N51" t="s">
        <v>693</v>
      </c>
    </row>
    <row r="52" spans="1:14" ht="11.25" customHeight="1" x14ac:dyDescent="0.15">
      <c r="A52" t="s">
        <v>3627</v>
      </c>
      <c r="B52" t="s">
        <v>1</v>
      </c>
      <c r="C52" t="s">
        <v>3787</v>
      </c>
      <c r="D52" t="s">
        <v>3788</v>
      </c>
      <c r="E52" t="s">
        <v>3789</v>
      </c>
      <c r="F52" t="s">
        <v>3766</v>
      </c>
      <c r="G52" t="s">
        <v>4</v>
      </c>
      <c r="H52" t="s">
        <v>4</v>
      </c>
      <c r="I52" t="s">
        <v>3754</v>
      </c>
      <c r="J52" t="s">
        <v>4</v>
      </c>
      <c r="K52" t="s">
        <v>1159</v>
      </c>
      <c r="L52" t="s">
        <v>3633</v>
      </c>
      <c r="M52" t="s">
        <v>3634</v>
      </c>
      <c r="N52" t="s">
        <v>693</v>
      </c>
    </row>
    <row r="53" spans="1:14" ht="11.25" customHeight="1" x14ac:dyDescent="0.15">
      <c r="A53" t="s">
        <v>3627</v>
      </c>
      <c r="B53" t="s">
        <v>1</v>
      </c>
      <c r="C53" t="s">
        <v>3790</v>
      </c>
      <c r="D53" t="s">
        <v>3791</v>
      </c>
      <c r="E53" t="s">
        <v>3792</v>
      </c>
      <c r="F53" t="s">
        <v>3766</v>
      </c>
      <c r="G53" t="s">
        <v>4</v>
      </c>
      <c r="H53" t="s">
        <v>4</v>
      </c>
      <c r="I53" t="s">
        <v>3754</v>
      </c>
      <c r="J53" t="s">
        <v>4</v>
      </c>
      <c r="K53" t="s">
        <v>1159</v>
      </c>
      <c r="L53" t="s">
        <v>3633</v>
      </c>
      <c r="M53" t="s">
        <v>3634</v>
      </c>
      <c r="N53" t="s">
        <v>693</v>
      </c>
    </row>
    <row r="54" spans="1:14" ht="11.25" customHeight="1" x14ac:dyDescent="0.15">
      <c r="A54" t="s">
        <v>3627</v>
      </c>
      <c r="B54" t="s">
        <v>1</v>
      </c>
      <c r="C54" t="s">
        <v>3793</v>
      </c>
      <c r="D54" t="s">
        <v>3794</v>
      </c>
      <c r="E54" t="s">
        <v>3795</v>
      </c>
      <c r="F54" t="s">
        <v>3796</v>
      </c>
      <c r="G54" t="s">
        <v>4</v>
      </c>
      <c r="H54" t="s">
        <v>4</v>
      </c>
      <c r="I54" t="s">
        <v>3782</v>
      </c>
      <c r="J54" t="s">
        <v>4</v>
      </c>
      <c r="K54" t="s">
        <v>1159</v>
      </c>
      <c r="L54" t="s">
        <v>3633</v>
      </c>
      <c r="M54" t="s">
        <v>3634</v>
      </c>
      <c r="N54" t="s">
        <v>693</v>
      </c>
    </row>
    <row r="55" spans="1:14" ht="11.25" customHeight="1" x14ac:dyDescent="0.15">
      <c r="A55" t="s">
        <v>3627</v>
      </c>
      <c r="B55" t="s">
        <v>1</v>
      </c>
      <c r="C55" t="s">
        <v>3797</v>
      </c>
      <c r="D55" t="s">
        <v>3798</v>
      </c>
      <c r="E55" t="s">
        <v>3799</v>
      </c>
      <c r="F55" t="s">
        <v>3669</v>
      </c>
      <c r="G55" t="s">
        <v>4</v>
      </c>
      <c r="H55" t="s">
        <v>4</v>
      </c>
      <c r="I55" t="s">
        <v>3647</v>
      </c>
      <c r="J55" t="s">
        <v>4</v>
      </c>
      <c r="K55" t="s">
        <v>1219</v>
      </c>
      <c r="L55" t="s">
        <v>3761</v>
      </c>
      <c r="M55" t="s">
        <v>3762</v>
      </c>
      <c r="N55" t="s">
        <v>693</v>
      </c>
    </row>
    <row r="56" spans="1:14" ht="11.25" customHeight="1" x14ac:dyDescent="0.15">
      <c r="A56" t="s">
        <v>3627</v>
      </c>
      <c r="B56" t="s">
        <v>1</v>
      </c>
      <c r="C56" t="s">
        <v>3800</v>
      </c>
      <c r="D56" t="s">
        <v>3801</v>
      </c>
      <c r="E56" t="s">
        <v>3802</v>
      </c>
      <c r="F56" t="s">
        <v>3631</v>
      </c>
      <c r="G56" t="s">
        <v>4</v>
      </c>
      <c r="H56" t="s">
        <v>4</v>
      </c>
      <c r="I56" t="s">
        <v>3803</v>
      </c>
      <c r="J56" t="s">
        <v>4</v>
      </c>
      <c r="K56" t="s">
        <v>1159</v>
      </c>
      <c r="L56" t="s">
        <v>3633</v>
      </c>
      <c r="M56" t="s">
        <v>3634</v>
      </c>
      <c r="N56" t="s">
        <v>693</v>
      </c>
    </row>
    <row r="57" spans="1:14" ht="11.25" customHeight="1" x14ac:dyDescent="0.15">
      <c r="A57" t="s">
        <v>3627</v>
      </c>
      <c r="B57" t="s">
        <v>1</v>
      </c>
      <c r="C57" t="s">
        <v>3804</v>
      </c>
      <c r="D57" t="s">
        <v>3805</v>
      </c>
      <c r="E57" t="s">
        <v>3806</v>
      </c>
      <c r="F57" t="s">
        <v>3631</v>
      </c>
      <c r="G57" t="s">
        <v>3807</v>
      </c>
      <c r="H57" t="s">
        <v>4</v>
      </c>
      <c r="I57" t="s">
        <v>3808</v>
      </c>
      <c r="J57" t="s">
        <v>4</v>
      </c>
      <c r="K57" t="s">
        <v>1203</v>
      </c>
      <c r="L57" t="s">
        <v>3709</v>
      </c>
      <c r="M57" t="s">
        <v>3710</v>
      </c>
      <c r="N57" t="s">
        <v>693</v>
      </c>
    </row>
    <row r="58" spans="1:14" ht="11.25" customHeight="1" x14ac:dyDescent="0.15">
      <c r="A58" t="s">
        <v>3627</v>
      </c>
      <c r="B58" t="s">
        <v>1</v>
      </c>
      <c r="C58" t="s">
        <v>3809</v>
      </c>
      <c r="D58" t="s">
        <v>3810</v>
      </c>
      <c r="E58" t="s">
        <v>3811</v>
      </c>
      <c r="F58" t="s">
        <v>3631</v>
      </c>
      <c r="G58" t="s">
        <v>3812</v>
      </c>
      <c r="H58" t="s">
        <v>4</v>
      </c>
      <c r="I58" t="s">
        <v>3813</v>
      </c>
      <c r="J58" t="s">
        <v>4</v>
      </c>
      <c r="K58" t="s">
        <v>1159</v>
      </c>
      <c r="L58" t="s">
        <v>3633</v>
      </c>
      <c r="M58" t="s">
        <v>3634</v>
      </c>
      <c r="N58" t="s">
        <v>693</v>
      </c>
    </row>
    <row r="59" spans="1:14" ht="11.25" customHeight="1" x14ac:dyDescent="0.15">
      <c r="A59" t="s">
        <v>3627</v>
      </c>
      <c r="B59" t="s">
        <v>1</v>
      </c>
      <c r="C59" t="s">
        <v>3814</v>
      </c>
      <c r="D59" t="s">
        <v>3815</v>
      </c>
      <c r="E59" t="s">
        <v>3816</v>
      </c>
      <c r="F59" t="s">
        <v>3817</v>
      </c>
      <c r="G59" t="s">
        <v>4</v>
      </c>
      <c r="H59" t="s">
        <v>4</v>
      </c>
      <c r="I59" t="s">
        <v>3676</v>
      </c>
      <c r="J59" t="s">
        <v>4</v>
      </c>
      <c r="K59" t="s">
        <v>1184</v>
      </c>
      <c r="L59" t="s">
        <v>3677</v>
      </c>
      <c r="M59" t="s">
        <v>3678</v>
      </c>
      <c r="N59" t="s">
        <v>693</v>
      </c>
    </row>
    <row r="60" spans="1:14" ht="11.25" customHeight="1" x14ac:dyDescent="0.15">
      <c r="A60" t="s">
        <v>3627</v>
      </c>
      <c r="B60" t="s">
        <v>1</v>
      </c>
      <c r="C60" t="s">
        <v>3814</v>
      </c>
      <c r="D60" t="s">
        <v>3815</v>
      </c>
      <c r="E60" t="s">
        <v>3816</v>
      </c>
      <c r="F60" t="s">
        <v>3817</v>
      </c>
      <c r="G60" t="s">
        <v>4</v>
      </c>
      <c r="H60" t="s">
        <v>4</v>
      </c>
      <c r="I60" t="s">
        <v>3676</v>
      </c>
      <c r="J60" t="s">
        <v>4</v>
      </c>
      <c r="K60" t="s">
        <v>3745</v>
      </c>
      <c r="L60" t="s">
        <v>3746</v>
      </c>
      <c r="M60" t="s">
        <v>3747</v>
      </c>
      <c r="N60" t="s">
        <v>693</v>
      </c>
    </row>
    <row r="61" spans="1:14" ht="11.25" customHeight="1" x14ac:dyDescent="0.15">
      <c r="A61" t="s">
        <v>3627</v>
      </c>
      <c r="B61" t="s">
        <v>1</v>
      </c>
      <c r="C61" t="s">
        <v>3818</v>
      </c>
      <c r="D61" t="s">
        <v>3819</v>
      </c>
      <c r="E61" t="s">
        <v>3820</v>
      </c>
      <c r="F61" t="s">
        <v>3740</v>
      </c>
      <c r="G61" t="s">
        <v>3821</v>
      </c>
      <c r="H61" t="s">
        <v>4</v>
      </c>
      <c r="I61" t="s">
        <v>3822</v>
      </c>
      <c r="J61" t="s">
        <v>4</v>
      </c>
      <c r="K61" t="s">
        <v>1159</v>
      </c>
      <c r="L61" t="s">
        <v>3633</v>
      </c>
      <c r="M61" t="s">
        <v>3634</v>
      </c>
      <c r="N61" t="s">
        <v>693</v>
      </c>
    </row>
    <row r="62" spans="1:14" ht="11.25" customHeight="1" x14ac:dyDescent="0.15">
      <c r="A62" t="s">
        <v>3627</v>
      </c>
      <c r="B62" t="s">
        <v>1</v>
      </c>
      <c r="C62" t="s">
        <v>3823</v>
      </c>
      <c r="D62" t="s">
        <v>3824</v>
      </c>
      <c r="E62" t="s">
        <v>3825</v>
      </c>
      <c r="F62" t="s">
        <v>3826</v>
      </c>
      <c r="G62" t="s">
        <v>3827</v>
      </c>
      <c r="H62" t="s">
        <v>4</v>
      </c>
      <c r="I62" t="s">
        <v>3828</v>
      </c>
      <c r="J62" t="s">
        <v>4</v>
      </c>
      <c r="K62" t="s">
        <v>1159</v>
      </c>
      <c r="L62" t="s">
        <v>3633</v>
      </c>
      <c r="M62" t="s">
        <v>3634</v>
      </c>
      <c r="N62" t="s">
        <v>693</v>
      </c>
    </row>
    <row r="63" spans="1:14" ht="11.25" customHeight="1" x14ac:dyDescent="0.15">
      <c r="A63" t="s">
        <v>3627</v>
      </c>
      <c r="B63" t="s">
        <v>1</v>
      </c>
      <c r="C63" t="s">
        <v>3829</v>
      </c>
      <c r="D63" t="s">
        <v>3830</v>
      </c>
      <c r="E63" t="s">
        <v>3831</v>
      </c>
      <c r="F63" t="s">
        <v>3832</v>
      </c>
      <c r="G63" t="s">
        <v>4</v>
      </c>
      <c r="H63" t="s">
        <v>4</v>
      </c>
      <c r="I63" t="s">
        <v>3833</v>
      </c>
      <c r="J63" t="s">
        <v>4</v>
      </c>
      <c r="K63" t="s">
        <v>1159</v>
      </c>
      <c r="L63" t="s">
        <v>3633</v>
      </c>
      <c r="M63" t="s">
        <v>3634</v>
      </c>
      <c r="N63" t="s">
        <v>693</v>
      </c>
    </row>
    <row r="64" spans="1:14" ht="11.25" customHeight="1" x14ac:dyDescent="0.15">
      <c r="A64" t="s">
        <v>3627</v>
      </c>
      <c r="B64" t="s">
        <v>1</v>
      </c>
      <c r="C64" t="s">
        <v>3834</v>
      </c>
      <c r="D64" t="s">
        <v>3835</v>
      </c>
      <c r="E64" t="s">
        <v>3836</v>
      </c>
      <c r="F64" t="s">
        <v>3693</v>
      </c>
      <c r="G64" t="s">
        <v>4</v>
      </c>
      <c r="H64" t="s">
        <v>4</v>
      </c>
      <c r="I64" t="s">
        <v>3716</v>
      </c>
      <c r="J64" t="s">
        <v>4</v>
      </c>
      <c r="K64" t="s">
        <v>1184</v>
      </c>
      <c r="L64" t="s">
        <v>3677</v>
      </c>
      <c r="M64" t="s">
        <v>3678</v>
      </c>
      <c r="N64" t="s">
        <v>693</v>
      </c>
    </row>
    <row r="65" spans="1:14" ht="11.25" customHeight="1" x14ac:dyDescent="0.15">
      <c r="A65" t="s">
        <v>3627</v>
      </c>
      <c r="B65" t="s">
        <v>1</v>
      </c>
      <c r="C65" t="s">
        <v>3837</v>
      </c>
      <c r="D65" t="s">
        <v>3838</v>
      </c>
      <c r="E65" t="s">
        <v>3839</v>
      </c>
      <c r="F65" t="s">
        <v>3682</v>
      </c>
      <c r="G65" t="s">
        <v>4</v>
      </c>
      <c r="H65" t="s">
        <v>4</v>
      </c>
      <c r="I65" t="s">
        <v>3840</v>
      </c>
      <c r="J65" t="s">
        <v>4</v>
      </c>
      <c r="K65" t="s">
        <v>1203</v>
      </c>
      <c r="L65" t="s">
        <v>3709</v>
      </c>
      <c r="M65" t="s">
        <v>3710</v>
      </c>
      <c r="N65" t="s">
        <v>693</v>
      </c>
    </row>
    <row r="66" spans="1:14" ht="11.25" customHeight="1" x14ac:dyDescent="0.15">
      <c r="A66" t="s">
        <v>3627</v>
      </c>
      <c r="B66" t="s">
        <v>1</v>
      </c>
      <c r="C66" t="s">
        <v>3841</v>
      </c>
      <c r="D66" t="s">
        <v>3842</v>
      </c>
      <c r="E66" t="s">
        <v>3843</v>
      </c>
      <c r="F66" t="s">
        <v>3844</v>
      </c>
      <c r="G66" t="s">
        <v>3845</v>
      </c>
      <c r="H66" t="s">
        <v>4</v>
      </c>
      <c r="I66" t="s">
        <v>3846</v>
      </c>
      <c r="J66" t="s">
        <v>4</v>
      </c>
      <c r="K66" t="s">
        <v>1159</v>
      </c>
      <c r="L66" t="s">
        <v>3633</v>
      </c>
      <c r="M66" t="s">
        <v>3634</v>
      </c>
      <c r="N66" t="s">
        <v>693</v>
      </c>
    </row>
    <row r="67" spans="1:14" ht="11.25" customHeight="1" x14ac:dyDescent="0.15">
      <c r="A67" t="s">
        <v>3627</v>
      </c>
      <c r="B67" t="s">
        <v>1</v>
      </c>
      <c r="C67" t="s">
        <v>3847</v>
      </c>
      <c r="D67" t="s">
        <v>3848</v>
      </c>
      <c r="E67" t="s">
        <v>3849</v>
      </c>
      <c r="F67" t="s">
        <v>3850</v>
      </c>
      <c r="G67" t="s">
        <v>3851</v>
      </c>
      <c r="H67" t="s">
        <v>4</v>
      </c>
      <c r="I67" t="s">
        <v>3632</v>
      </c>
      <c r="J67" t="s">
        <v>4</v>
      </c>
      <c r="K67" t="s">
        <v>1159</v>
      </c>
      <c r="L67" t="s">
        <v>3633</v>
      </c>
      <c r="M67" t="s">
        <v>3634</v>
      </c>
      <c r="N67" t="s">
        <v>693</v>
      </c>
    </row>
    <row r="68" spans="1:14" ht="11.25" customHeight="1" x14ac:dyDescent="0.15">
      <c r="A68" t="s">
        <v>3627</v>
      </c>
      <c r="B68" t="s">
        <v>1</v>
      </c>
      <c r="C68" t="s">
        <v>3852</v>
      </c>
      <c r="D68" t="s">
        <v>3853</v>
      </c>
      <c r="E68" t="s">
        <v>3854</v>
      </c>
      <c r="F68" t="s">
        <v>3631</v>
      </c>
      <c r="G68" t="s">
        <v>4</v>
      </c>
      <c r="H68" t="s">
        <v>4</v>
      </c>
      <c r="I68" t="s">
        <v>3855</v>
      </c>
      <c r="J68" t="s">
        <v>4</v>
      </c>
      <c r="K68" t="s">
        <v>1219</v>
      </c>
      <c r="L68" t="s">
        <v>3761</v>
      </c>
      <c r="M68" t="s">
        <v>3762</v>
      </c>
      <c r="N68" t="s">
        <v>693</v>
      </c>
    </row>
    <row r="69" spans="1:14" ht="11.25" customHeight="1" x14ac:dyDescent="0.15">
      <c r="A69" t="s">
        <v>3627</v>
      </c>
      <c r="B69" t="s">
        <v>1</v>
      </c>
      <c r="C69" t="s">
        <v>3856</v>
      </c>
      <c r="D69" t="s">
        <v>3857</v>
      </c>
      <c r="E69" t="s">
        <v>3858</v>
      </c>
      <c r="F69" t="s">
        <v>3631</v>
      </c>
      <c r="G69" t="s">
        <v>4</v>
      </c>
      <c r="H69" t="s">
        <v>4</v>
      </c>
      <c r="I69" t="s">
        <v>3676</v>
      </c>
      <c r="J69" t="s">
        <v>4</v>
      </c>
      <c r="K69" t="s">
        <v>1184</v>
      </c>
      <c r="L69" t="s">
        <v>3677</v>
      </c>
      <c r="M69" t="s">
        <v>3678</v>
      </c>
      <c r="N69" t="s">
        <v>693</v>
      </c>
    </row>
    <row r="70" spans="1:14" ht="11.25" customHeight="1" x14ac:dyDescent="0.15">
      <c r="A70" t="s">
        <v>3627</v>
      </c>
      <c r="B70" t="s">
        <v>1</v>
      </c>
      <c r="C70" t="s">
        <v>3859</v>
      </c>
      <c r="D70" t="s">
        <v>3860</v>
      </c>
      <c r="E70" t="s">
        <v>3861</v>
      </c>
      <c r="F70" t="s">
        <v>3862</v>
      </c>
      <c r="G70" t="s">
        <v>3675</v>
      </c>
      <c r="H70" t="s">
        <v>4</v>
      </c>
      <c r="I70" t="s">
        <v>3647</v>
      </c>
      <c r="J70" t="s">
        <v>4</v>
      </c>
      <c r="K70" t="s">
        <v>1090</v>
      </c>
      <c r="L70" t="s">
        <v>1090</v>
      </c>
      <c r="M70" t="s">
        <v>3777</v>
      </c>
      <c r="N70" t="s">
        <v>693</v>
      </c>
    </row>
    <row r="71" spans="1:14" ht="11.25" customHeight="1" x14ac:dyDescent="0.15">
      <c r="A71" t="s">
        <v>3627</v>
      </c>
      <c r="B71" t="s">
        <v>1</v>
      </c>
      <c r="C71" t="s">
        <v>3863</v>
      </c>
      <c r="D71" t="s">
        <v>3864</v>
      </c>
      <c r="E71" t="s">
        <v>3865</v>
      </c>
      <c r="F71" t="s">
        <v>3669</v>
      </c>
      <c r="G71" t="s">
        <v>4</v>
      </c>
      <c r="H71" t="s">
        <v>4</v>
      </c>
      <c r="I71" t="s">
        <v>3782</v>
      </c>
      <c r="J71" t="s">
        <v>4</v>
      </c>
      <c r="K71" t="s">
        <v>1090</v>
      </c>
      <c r="L71" t="s">
        <v>1090</v>
      </c>
      <c r="M71" t="s">
        <v>3777</v>
      </c>
      <c r="N71" t="s">
        <v>693</v>
      </c>
    </row>
    <row r="72" spans="1:14" ht="11.25" customHeight="1" x14ac:dyDescent="0.15">
      <c r="A72" t="s">
        <v>3627</v>
      </c>
      <c r="B72" t="s">
        <v>1</v>
      </c>
      <c r="C72" t="s">
        <v>3863</v>
      </c>
      <c r="D72" t="s">
        <v>3864</v>
      </c>
      <c r="E72" t="s">
        <v>3865</v>
      </c>
      <c r="F72" t="s">
        <v>3669</v>
      </c>
      <c r="G72" t="s">
        <v>4</v>
      </c>
      <c r="H72" t="s">
        <v>4</v>
      </c>
      <c r="I72" t="s">
        <v>3866</v>
      </c>
      <c r="J72" t="s">
        <v>4</v>
      </c>
      <c r="K72" t="s">
        <v>1159</v>
      </c>
      <c r="L72" t="s">
        <v>3633</v>
      </c>
      <c r="M72" t="s">
        <v>3634</v>
      </c>
      <c r="N72" t="s">
        <v>693</v>
      </c>
    </row>
    <row r="73" spans="1:14" ht="11.25" customHeight="1" x14ac:dyDescent="0.15">
      <c r="A73" t="s">
        <v>3627</v>
      </c>
      <c r="B73" t="s">
        <v>1</v>
      </c>
      <c r="C73" t="s">
        <v>3867</v>
      </c>
      <c r="D73" t="s">
        <v>3868</v>
      </c>
      <c r="E73" t="s">
        <v>3869</v>
      </c>
      <c r="F73" t="s">
        <v>3631</v>
      </c>
      <c r="G73" t="s">
        <v>4</v>
      </c>
      <c r="H73" t="s">
        <v>4</v>
      </c>
      <c r="I73" t="s">
        <v>3870</v>
      </c>
      <c r="J73" t="s">
        <v>4</v>
      </c>
      <c r="K73" t="s">
        <v>1203</v>
      </c>
      <c r="L73" t="s">
        <v>3709</v>
      </c>
      <c r="M73" t="s">
        <v>3710</v>
      </c>
      <c r="N73" t="s">
        <v>693</v>
      </c>
    </row>
    <row r="74" spans="1:14" ht="11.25" customHeight="1" x14ac:dyDescent="0.15">
      <c r="A74" t="s">
        <v>3627</v>
      </c>
      <c r="B74" t="s">
        <v>1</v>
      </c>
      <c r="C74" t="s">
        <v>3871</v>
      </c>
      <c r="D74" t="s">
        <v>3872</v>
      </c>
      <c r="E74" t="s">
        <v>3873</v>
      </c>
      <c r="F74" t="s">
        <v>3874</v>
      </c>
      <c r="G74" t="s">
        <v>3875</v>
      </c>
      <c r="H74" t="s">
        <v>4</v>
      </c>
      <c r="I74" t="s">
        <v>3767</v>
      </c>
      <c r="J74" t="s">
        <v>4</v>
      </c>
      <c r="K74" t="s">
        <v>1126</v>
      </c>
      <c r="L74" t="s">
        <v>3876</v>
      </c>
      <c r="M74" t="s">
        <v>3877</v>
      </c>
      <c r="N74" t="s">
        <v>693</v>
      </c>
    </row>
    <row r="75" spans="1:14" ht="11.25" customHeight="1" x14ac:dyDescent="0.15">
      <c r="A75" t="s">
        <v>3627</v>
      </c>
      <c r="B75" t="s">
        <v>1</v>
      </c>
      <c r="C75" t="s">
        <v>3878</v>
      </c>
      <c r="D75" t="s">
        <v>3879</v>
      </c>
      <c r="E75" t="s">
        <v>3880</v>
      </c>
      <c r="F75" t="s">
        <v>3881</v>
      </c>
      <c r="G75" t="s">
        <v>3882</v>
      </c>
      <c r="H75" t="s">
        <v>4</v>
      </c>
      <c r="I75" t="s">
        <v>3883</v>
      </c>
      <c r="J75" t="s">
        <v>4</v>
      </c>
      <c r="K75" t="s">
        <v>1159</v>
      </c>
      <c r="L75" t="s">
        <v>3633</v>
      </c>
      <c r="M75" t="s">
        <v>3634</v>
      </c>
      <c r="N75" t="s">
        <v>693</v>
      </c>
    </row>
    <row r="76" spans="1:14" ht="11.25" customHeight="1" x14ac:dyDescent="0.15">
      <c r="A76" t="s">
        <v>3627</v>
      </c>
      <c r="B76" t="s">
        <v>1</v>
      </c>
      <c r="C76" t="s">
        <v>3884</v>
      </c>
      <c r="D76" t="s">
        <v>3885</v>
      </c>
      <c r="E76" t="s">
        <v>3886</v>
      </c>
      <c r="F76" t="s">
        <v>3669</v>
      </c>
      <c r="G76" t="s">
        <v>3887</v>
      </c>
      <c r="H76" t="s">
        <v>4</v>
      </c>
      <c r="I76" t="s">
        <v>3888</v>
      </c>
      <c r="J76" t="s">
        <v>4</v>
      </c>
      <c r="K76" t="s">
        <v>1203</v>
      </c>
      <c r="L76" t="s">
        <v>3709</v>
      </c>
      <c r="M76" t="s">
        <v>3710</v>
      </c>
      <c r="N76" t="s">
        <v>693</v>
      </c>
    </row>
    <row r="77" spans="1:14" ht="11.25" customHeight="1" x14ac:dyDescent="0.15">
      <c r="A77" t="s">
        <v>3627</v>
      </c>
      <c r="B77" t="s">
        <v>1</v>
      </c>
      <c r="C77" t="s">
        <v>3884</v>
      </c>
      <c r="D77" t="s">
        <v>3885</v>
      </c>
      <c r="E77" t="s">
        <v>3886</v>
      </c>
      <c r="F77" t="s">
        <v>3669</v>
      </c>
      <c r="G77" t="s">
        <v>3887</v>
      </c>
      <c r="H77" t="s">
        <v>4</v>
      </c>
      <c r="I77" t="s">
        <v>3889</v>
      </c>
      <c r="J77" t="s">
        <v>4</v>
      </c>
      <c r="K77" t="s">
        <v>1203</v>
      </c>
      <c r="L77" t="s">
        <v>3709</v>
      </c>
      <c r="M77" t="s">
        <v>3710</v>
      </c>
      <c r="N77" t="s">
        <v>693</v>
      </c>
    </row>
    <row r="78" spans="1:14" ht="11.25" customHeight="1" x14ac:dyDescent="0.15">
      <c r="A78" t="s">
        <v>3627</v>
      </c>
      <c r="B78" t="s">
        <v>1</v>
      </c>
      <c r="C78" t="s">
        <v>3884</v>
      </c>
      <c r="D78" t="s">
        <v>3885</v>
      </c>
      <c r="E78" t="s">
        <v>3886</v>
      </c>
      <c r="F78" t="s">
        <v>3669</v>
      </c>
      <c r="G78" t="s">
        <v>3887</v>
      </c>
      <c r="H78" t="s">
        <v>4</v>
      </c>
      <c r="I78" t="s">
        <v>3890</v>
      </c>
      <c r="J78" t="s">
        <v>4</v>
      </c>
      <c r="K78" t="s">
        <v>1203</v>
      </c>
      <c r="L78" t="s">
        <v>3709</v>
      </c>
      <c r="M78" t="s">
        <v>3710</v>
      </c>
      <c r="N78" t="s">
        <v>693</v>
      </c>
    </row>
    <row r="79" spans="1:14" ht="11.25" customHeight="1" x14ac:dyDescent="0.15">
      <c r="A79" t="s">
        <v>3627</v>
      </c>
      <c r="B79" t="s">
        <v>1</v>
      </c>
      <c r="C79" t="s">
        <v>3884</v>
      </c>
      <c r="D79" t="s">
        <v>3885</v>
      </c>
      <c r="E79" t="s">
        <v>3886</v>
      </c>
      <c r="F79" t="s">
        <v>3669</v>
      </c>
      <c r="G79" t="s">
        <v>3887</v>
      </c>
      <c r="H79" t="s">
        <v>4</v>
      </c>
      <c r="I79" t="s">
        <v>3689</v>
      </c>
      <c r="J79" t="s">
        <v>4</v>
      </c>
      <c r="K79" t="s">
        <v>1159</v>
      </c>
      <c r="L79" t="s">
        <v>3633</v>
      </c>
      <c r="M79" t="s">
        <v>3634</v>
      </c>
      <c r="N79" t="s">
        <v>693</v>
      </c>
    </row>
    <row r="80" spans="1:14" ht="11.25" customHeight="1" x14ac:dyDescent="0.15">
      <c r="A80" t="s">
        <v>3627</v>
      </c>
      <c r="B80" t="s">
        <v>1</v>
      </c>
      <c r="C80" t="s">
        <v>3884</v>
      </c>
      <c r="D80" t="s">
        <v>3885</v>
      </c>
      <c r="E80" t="s">
        <v>3886</v>
      </c>
      <c r="F80" t="s">
        <v>3669</v>
      </c>
      <c r="G80" t="s">
        <v>3887</v>
      </c>
      <c r="H80" t="s">
        <v>4</v>
      </c>
      <c r="I80" t="s">
        <v>3716</v>
      </c>
      <c r="J80" t="s">
        <v>4</v>
      </c>
      <c r="K80" t="s">
        <v>1203</v>
      </c>
      <c r="L80" t="s">
        <v>3709</v>
      </c>
      <c r="M80" t="s">
        <v>3710</v>
      </c>
      <c r="N80" t="s">
        <v>693</v>
      </c>
    </row>
    <row r="81" spans="1:14" ht="11.25" customHeight="1" x14ac:dyDescent="0.15">
      <c r="A81" t="s">
        <v>3627</v>
      </c>
      <c r="B81" t="s">
        <v>1</v>
      </c>
      <c r="C81" t="s">
        <v>3884</v>
      </c>
      <c r="D81" t="s">
        <v>3885</v>
      </c>
      <c r="E81" t="s">
        <v>3886</v>
      </c>
      <c r="F81" t="s">
        <v>3669</v>
      </c>
      <c r="G81" t="s">
        <v>3887</v>
      </c>
      <c r="H81" t="s">
        <v>4</v>
      </c>
      <c r="I81" t="s">
        <v>3891</v>
      </c>
      <c r="J81" t="s">
        <v>4</v>
      </c>
      <c r="K81" t="s">
        <v>1159</v>
      </c>
      <c r="L81" t="s">
        <v>3633</v>
      </c>
      <c r="M81" t="s">
        <v>3634</v>
      </c>
      <c r="N81" t="s">
        <v>693</v>
      </c>
    </row>
    <row r="82" spans="1:14" ht="11.25" customHeight="1" x14ac:dyDescent="0.15">
      <c r="A82" t="s">
        <v>3627</v>
      </c>
      <c r="B82" t="s">
        <v>1</v>
      </c>
      <c r="C82" t="s">
        <v>3884</v>
      </c>
      <c r="D82" t="s">
        <v>3885</v>
      </c>
      <c r="E82" t="s">
        <v>3886</v>
      </c>
      <c r="F82" t="s">
        <v>3669</v>
      </c>
      <c r="G82" t="s">
        <v>3887</v>
      </c>
      <c r="H82" t="s">
        <v>4</v>
      </c>
      <c r="I82" t="s">
        <v>3754</v>
      </c>
      <c r="J82" t="s">
        <v>4</v>
      </c>
      <c r="K82" t="s">
        <v>1159</v>
      </c>
      <c r="L82" t="s">
        <v>3633</v>
      </c>
      <c r="M82" t="s">
        <v>3634</v>
      </c>
      <c r="N82" t="s">
        <v>693</v>
      </c>
    </row>
    <row r="83" spans="1:14" ht="11.25" customHeight="1" x14ac:dyDescent="0.15">
      <c r="A83" t="s">
        <v>3627</v>
      </c>
      <c r="B83" t="s">
        <v>1</v>
      </c>
      <c r="C83" t="s">
        <v>3884</v>
      </c>
      <c r="D83" t="s">
        <v>3885</v>
      </c>
      <c r="E83" t="s">
        <v>3886</v>
      </c>
      <c r="F83" t="s">
        <v>3669</v>
      </c>
      <c r="G83" t="s">
        <v>3887</v>
      </c>
      <c r="H83" t="s">
        <v>4</v>
      </c>
      <c r="I83" t="s">
        <v>3647</v>
      </c>
      <c r="J83" t="s">
        <v>4</v>
      </c>
      <c r="K83" t="s">
        <v>1203</v>
      </c>
      <c r="L83" t="s">
        <v>3709</v>
      </c>
      <c r="M83" t="s">
        <v>3710</v>
      </c>
      <c r="N83" t="s">
        <v>693</v>
      </c>
    </row>
    <row r="84" spans="1:14" ht="11.25" customHeight="1" x14ac:dyDescent="0.15">
      <c r="A84" t="s">
        <v>3627</v>
      </c>
      <c r="B84" t="s">
        <v>1</v>
      </c>
      <c r="C84" t="s">
        <v>3884</v>
      </c>
      <c r="D84" t="s">
        <v>3885</v>
      </c>
      <c r="E84" t="s">
        <v>3886</v>
      </c>
      <c r="F84" t="s">
        <v>3669</v>
      </c>
      <c r="G84" t="s">
        <v>3887</v>
      </c>
      <c r="H84" t="s">
        <v>4</v>
      </c>
      <c r="I84" t="s">
        <v>3647</v>
      </c>
      <c r="J84" t="s">
        <v>4</v>
      </c>
      <c r="K84" t="s">
        <v>1159</v>
      </c>
      <c r="L84" t="s">
        <v>3633</v>
      </c>
      <c r="M84" t="s">
        <v>3634</v>
      </c>
      <c r="N84" t="s">
        <v>693</v>
      </c>
    </row>
    <row r="85" spans="1:14" ht="11.25" customHeight="1" x14ac:dyDescent="0.15">
      <c r="A85" t="s">
        <v>3627</v>
      </c>
      <c r="B85" t="s">
        <v>1</v>
      </c>
      <c r="C85" t="s">
        <v>3892</v>
      </c>
      <c r="D85" t="s">
        <v>3893</v>
      </c>
      <c r="E85" t="s">
        <v>3894</v>
      </c>
      <c r="F85" t="s">
        <v>3693</v>
      </c>
      <c r="G85" t="s">
        <v>4</v>
      </c>
      <c r="H85" t="s">
        <v>4</v>
      </c>
      <c r="I85" t="s">
        <v>3632</v>
      </c>
      <c r="J85" t="s">
        <v>4</v>
      </c>
      <c r="K85" t="s">
        <v>1184</v>
      </c>
      <c r="L85" t="s">
        <v>3677</v>
      </c>
      <c r="M85" t="s">
        <v>3678</v>
      </c>
      <c r="N85" t="s">
        <v>693</v>
      </c>
    </row>
    <row r="86" spans="1:14" ht="11.25" customHeight="1" x14ac:dyDescent="0.15">
      <c r="A86" t="s">
        <v>3627</v>
      </c>
      <c r="B86" t="s">
        <v>1</v>
      </c>
      <c r="C86" t="s">
        <v>3892</v>
      </c>
      <c r="D86" t="s">
        <v>3893</v>
      </c>
      <c r="E86" t="s">
        <v>3894</v>
      </c>
      <c r="F86" t="s">
        <v>3693</v>
      </c>
      <c r="G86" t="s">
        <v>4</v>
      </c>
      <c r="H86" t="s">
        <v>4</v>
      </c>
      <c r="I86" t="s">
        <v>3895</v>
      </c>
      <c r="J86" t="s">
        <v>4</v>
      </c>
      <c r="K86" t="s">
        <v>1063</v>
      </c>
      <c r="L86" t="s">
        <v>3742</v>
      </c>
      <c r="M86" t="s">
        <v>3743</v>
      </c>
      <c r="N86" t="s">
        <v>693</v>
      </c>
    </row>
    <row r="87" spans="1:14" ht="11.25" customHeight="1" x14ac:dyDescent="0.15">
      <c r="A87" t="s">
        <v>3627</v>
      </c>
      <c r="B87" t="s">
        <v>1</v>
      </c>
      <c r="C87" t="s">
        <v>3896</v>
      </c>
      <c r="D87" t="s">
        <v>3897</v>
      </c>
      <c r="E87" t="s">
        <v>3898</v>
      </c>
      <c r="F87" t="s">
        <v>3850</v>
      </c>
      <c r="G87" t="s">
        <v>4</v>
      </c>
      <c r="H87" t="s">
        <v>4</v>
      </c>
      <c r="I87" t="s">
        <v>3632</v>
      </c>
      <c r="J87" t="s">
        <v>4</v>
      </c>
      <c r="K87" t="s">
        <v>1159</v>
      </c>
      <c r="L87" t="s">
        <v>3633</v>
      </c>
      <c r="M87" t="s">
        <v>3634</v>
      </c>
      <c r="N87" t="s">
        <v>693</v>
      </c>
    </row>
    <row r="88" spans="1:14" ht="11.25" customHeight="1" x14ac:dyDescent="0.15">
      <c r="A88" t="s">
        <v>3627</v>
      </c>
      <c r="B88" t="s">
        <v>1</v>
      </c>
      <c r="C88" t="s">
        <v>3899</v>
      </c>
      <c r="D88" t="s">
        <v>3900</v>
      </c>
      <c r="E88" t="s">
        <v>3901</v>
      </c>
      <c r="F88" t="s">
        <v>3902</v>
      </c>
      <c r="G88" t="s">
        <v>3903</v>
      </c>
      <c r="H88" t="s">
        <v>4</v>
      </c>
      <c r="I88" t="s">
        <v>3904</v>
      </c>
      <c r="J88" t="s">
        <v>4</v>
      </c>
      <c r="K88" t="s">
        <v>1203</v>
      </c>
      <c r="L88" t="s">
        <v>3709</v>
      </c>
      <c r="M88" t="s">
        <v>3710</v>
      </c>
      <c r="N88" t="s">
        <v>693</v>
      </c>
    </row>
    <row r="89" spans="1:14" ht="11.25" customHeight="1" x14ac:dyDescent="0.15">
      <c r="A89" t="s">
        <v>3627</v>
      </c>
      <c r="B89" t="s">
        <v>1</v>
      </c>
      <c r="C89" t="s">
        <v>3899</v>
      </c>
      <c r="D89" t="s">
        <v>3900</v>
      </c>
      <c r="E89" t="s">
        <v>3901</v>
      </c>
      <c r="F89" t="s">
        <v>3902</v>
      </c>
      <c r="G89" t="s">
        <v>3903</v>
      </c>
      <c r="H89" t="s">
        <v>4</v>
      </c>
      <c r="I89" t="s">
        <v>3904</v>
      </c>
      <c r="J89" t="s">
        <v>4</v>
      </c>
      <c r="K89" t="s">
        <v>1159</v>
      </c>
      <c r="L89" t="s">
        <v>3633</v>
      </c>
      <c r="M89" t="s">
        <v>3634</v>
      </c>
      <c r="N89" t="s">
        <v>693</v>
      </c>
    </row>
    <row r="90" spans="1:14" ht="11.25" customHeight="1" x14ac:dyDescent="0.15">
      <c r="A90" t="s">
        <v>3627</v>
      </c>
      <c r="B90" t="s">
        <v>1</v>
      </c>
      <c r="C90" t="s">
        <v>3899</v>
      </c>
      <c r="D90" t="s">
        <v>3900</v>
      </c>
      <c r="E90" t="s">
        <v>3901</v>
      </c>
      <c r="F90" t="s">
        <v>3902</v>
      </c>
      <c r="G90" t="s">
        <v>3903</v>
      </c>
      <c r="H90" t="s">
        <v>4</v>
      </c>
      <c r="I90" t="s">
        <v>3904</v>
      </c>
      <c r="J90" t="s">
        <v>4</v>
      </c>
      <c r="K90" t="s">
        <v>3652</v>
      </c>
      <c r="L90" t="s">
        <v>3653</v>
      </c>
      <c r="M90" t="s">
        <v>3654</v>
      </c>
      <c r="N90" t="s">
        <v>693</v>
      </c>
    </row>
    <row r="91" spans="1:14" ht="11.25" customHeight="1" x14ac:dyDescent="0.15">
      <c r="A91" t="s">
        <v>3627</v>
      </c>
      <c r="B91" t="s">
        <v>1</v>
      </c>
      <c r="C91" t="s">
        <v>3899</v>
      </c>
      <c r="D91" t="s">
        <v>3900</v>
      </c>
      <c r="E91" t="s">
        <v>3901</v>
      </c>
      <c r="F91" t="s">
        <v>3902</v>
      </c>
      <c r="G91" t="s">
        <v>3903</v>
      </c>
      <c r="H91" t="s">
        <v>4</v>
      </c>
      <c r="I91" t="s">
        <v>3905</v>
      </c>
      <c r="J91" t="s">
        <v>4</v>
      </c>
      <c r="K91" t="s">
        <v>1203</v>
      </c>
      <c r="L91" t="s">
        <v>3709</v>
      </c>
      <c r="M91" t="s">
        <v>3710</v>
      </c>
      <c r="N91" t="s">
        <v>693</v>
      </c>
    </row>
    <row r="92" spans="1:14" ht="11.25" customHeight="1" x14ac:dyDescent="0.15">
      <c r="A92" t="s">
        <v>3627</v>
      </c>
      <c r="B92" t="s">
        <v>1</v>
      </c>
      <c r="C92" t="s">
        <v>3899</v>
      </c>
      <c r="D92" t="s">
        <v>3900</v>
      </c>
      <c r="E92" t="s">
        <v>3901</v>
      </c>
      <c r="F92" t="s">
        <v>3902</v>
      </c>
      <c r="G92" t="s">
        <v>3903</v>
      </c>
      <c r="H92" t="s">
        <v>4</v>
      </c>
      <c r="I92" t="s">
        <v>3716</v>
      </c>
      <c r="J92" t="s">
        <v>4</v>
      </c>
      <c r="K92" t="s">
        <v>1219</v>
      </c>
      <c r="L92" t="s">
        <v>3761</v>
      </c>
      <c r="M92" t="s">
        <v>3762</v>
      </c>
      <c r="N92" t="s">
        <v>693</v>
      </c>
    </row>
    <row r="93" spans="1:14" ht="11.25" customHeight="1" x14ac:dyDescent="0.15">
      <c r="A93" t="s">
        <v>3627</v>
      </c>
      <c r="B93" t="s">
        <v>1</v>
      </c>
      <c r="C93" t="s">
        <v>3899</v>
      </c>
      <c r="D93" t="s">
        <v>3900</v>
      </c>
      <c r="E93" t="s">
        <v>3901</v>
      </c>
      <c r="F93" t="s">
        <v>3902</v>
      </c>
      <c r="G93" t="s">
        <v>3903</v>
      </c>
      <c r="H93" t="s">
        <v>4</v>
      </c>
      <c r="I93" t="s">
        <v>3716</v>
      </c>
      <c r="J93" t="s">
        <v>4</v>
      </c>
      <c r="K93" t="s">
        <v>1203</v>
      </c>
      <c r="L93" t="s">
        <v>3709</v>
      </c>
      <c r="M93" t="s">
        <v>3710</v>
      </c>
      <c r="N93" t="s">
        <v>693</v>
      </c>
    </row>
    <row r="94" spans="1:14" ht="11.25" customHeight="1" x14ac:dyDescent="0.15">
      <c r="A94" t="s">
        <v>3627</v>
      </c>
      <c r="B94" t="s">
        <v>1</v>
      </c>
      <c r="C94" t="s">
        <v>3899</v>
      </c>
      <c r="D94" t="s">
        <v>3900</v>
      </c>
      <c r="E94" t="s">
        <v>3901</v>
      </c>
      <c r="F94" t="s">
        <v>3902</v>
      </c>
      <c r="G94" t="s">
        <v>3903</v>
      </c>
      <c r="H94" t="s">
        <v>4</v>
      </c>
      <c r="I94" t="s">
        <v>3906</v>
      </c>
      <c r="J94" t="s">
        <v>4</v>
      </c>
      <c r="K94" t="s">
        <v>1159</v>
      </c>
      <c r="L94" t="s">
        <v>3633</v>
      </c>
      <c r="M94" t="s">
        <v>3634</v>
      </c>
      <c r="N94" t="s">
        <v>693</v>
      </c>
    </row>
    <row r="95" spans="1:14" ht="11.25" customHeight="1" x14ac:dyDescent="0.15">
      <c r="A95" t="s">
        <v>3627</v>
      </c>
      <c r="B95" t="s">
        <v>1</v>
      </c>
      <c r="C95" t="s">
        <v>3899</v>
      </c>
      <c r="D95" t="s">
        <v>3900</v>
      </c>
      <c r="E95" t="s">
        <v>3901</v>
      </c>
      <c r="F95" t="s">
        <v>3902</v>
      </c>
      <c r="G95" t="s">
        <v>3903</v>
      </c>
      <c r="H95" t="s">
        <v>4</v>
      </c>
      <c r="I95" t="s">
        <v>3907</v>
      </c>
      <c r="J95" t="s">
        <v>4</v>
      </c>
      <c r="K95" t="s">
        <v>1159</v>
      </c>
      <c r="L95" t="s">
        <v>3633</v>
      </c>
      <c r="M95" t="s">
        <v>3634</v>
      </c>
      <c r="N95" t="s">
        <v>693</v>
      </c>
    </row>
    <row r="96" spans="1:14" ht="11.25" customHeight="1" x14ac:dyDescent="0.15">
      <c r="A96" t="s">
        <v>3627</v>
      </c>
      <c r="B96" t="s">
        <v>1</v>
      </c>
      <c r="C96" t="s">
        <v>3899</v>
      </c>
      <c r="D96" t="s">
        <v>3900</v>
      </c>
      <c r="E96" t="s">
        <v>3901</v>
      </c>
      <c r="F96" t="s">
        <v>3902</v>
      </c>
      <c r="G96" t="s">
        <v>3903</v>
      </c>
      <c r="H96" t="s">
        <v>4</v>
      </c>
      <c r="I96" t="s">
        <v>3908</v>
      </c>
      <c r="J96" t="s">
        <v>4</v>
      </c>
      <c r="K96" t="s">
        <v>1159</v>
      </c>
      <c r="L96" t="s">
        <v>3633</v>
      </c>
      <c r="M96" t="s">
        <v>3634</v>
      </c>
      <c r="N96" t="s">
        <v>693</v>
      </c>
    </row>
    <row r="97" spans="1:14" ht="11.25" customHeight="1" x14ac:dyDescent="0.15">
      <c r="A97" t="s">
        <v>3627</v>
      </c>
      <c r="B97" t="s">
        <v>1</v>
      </c>
      <c r="C97" t="s">
        <v>3899</v>
      </c>
      <c r="D97" t="s">
        <v>3900</v>
      </c>
      <c r="E97" t="s">
        <v>3901</v>
      </c>
      <c r="F97" t="s">
        <v>3902</v>
      </c>
      <c r="G97" t="s">
        <v>3903</v>
      </c>
      <c r="H97" t="s">
        <v>4</v>
      </c>
      <c r="I97" t="s">
        <v>3891</v>
      </c>
      <c r="J97" t="s">
        <v>4</v>
      </c>
      <c r="K97" t="s">
        <v>1159</v>
      </c>
      <c r="L97" t="s">
        <v>3633</v>
      </c>
      <c r="M97" t="s">
        <v>3634</v>
      </c>
      <c r="N97" t="s">
        <v>693</v>
      </c>
    </row>
    <row r="98" spans="1:14" ht="11.25" customHeight="1" x14ac:dyDescent="0.15">
      <c r="A98" t="s">
        <v>3627</v>
      </c>
      <c r="B98" t="s">
        <v>1</v>
      </c>
      <c r="C98" t="s">
        <v>3899</v>
      </c>
      <c r="D98" t="s">
        <v>3900</v>
      </c>
      <c r="E98" t="s">
        <v>3901</v>
      </c>
      <c r="F98" t="s">
        <v>3902</v>
      </c>
      <c r="G98" t="s">
        <v>3903</v>
      </c>
      <c r="H98" t="s">
        <v>4</v>
      </c>
      <c r="I98" t="s">
        <v>3647</v>
      </c>
      <c r="J98" t="s">
        <v>4</v>
      </c>
      <c r="K98" t="s">
        <v>1203</v>
      </c>
      <c r="L98" t="s">
        <v>3709</v>
      </c>
      <c r="M98" t="s">
        <v>3710</v>
      </c>
      <c r="N98" t="s">
        <v>693</v>
      </c>
    </row>
    <row r="99" spans="1:14" ht="11.25" customHeight="1" x14ac:dyDescent="0.15">
      <c r="A99" t="s">
        <v>3627</v>
      </c>
      <c r="B99" t="s">
        <v>1</v>
      </c>
      <c r="C99" t="s">
        <v>3899</v>
      </c>
      <c r="D99" t="s">
        <v>3900</v>
      </c>
      <c r="E99" t="s">
        <v>3901</v>
      </c>
      <c r="F99" t="s">
        <v>3902</v>
      </c>
      <c r="G99" t="s">
        <v>3903</v>
      </c>
      <c r="H99" t="s">
        <v>4</v>
      </c>
      <c r="I99" t="s">
        <v>3639</v>
      </c>
      <c r="J99" t="s">
        <v>4</v>
      </c>
      <c r="K99" t="s">
        <v>1159</v>
      </c>
      <c r="L99" t="s">
        <v>3633</v>
      </c>
      <c r="M99" t="s">
        <v>3634</v>
      </c>
      <c r="N99" t="s">
        <v>693</v>
      </c>
    </row>
    <row r="100" spans="1:14" ht="11.25" customHeight="1" x14ac:dyDescent="0.15">
      <c r="A100" t="s">
        <v>3627</v>
      </c>
      <c r="B100" t="s">
        <v>1</v>
      </c>
      <c r="C100" t="s">
        <v>3899</v>
      </c>
      <c r="D100" t="s">
        <v>3900</v>
      </c>
      <c r="E100" t="s">
        <v>3901</v>
      </c>
      <c r="F100" t="s">
        <v>3902</v>
      </c>
      <c r="G100" t="s">
        <v>3903</v>
      </c>
      <c r="H100" t="s">
        <v>4</v>
      </c>
      <c r="I100" t="s">
        <v>3639</v>
      </c>
      <c r="J100" t="s">
        <v>4</v>
      </c>
      <c r="K100" t="s">
        <v>3640</v>
      </c>
      <c r="L100" t="s">
        <v>3641</v>
      </c>
      <c r="M100" t="s">
        <v>3642</v>
      </c>
      <c r="N100" t="s">
        <v>693</v>
      </c>
    </row>
    <row r="101" spans="1:14" ht="11.25" customHeight="1" x14ac:dyDescent="0.15">
      <c r="A101" t="s">
        <v>3627</v>
      </c>
      <c r="B101" t="s">
        <v>1</v>
      </c>
      <c r="C101" t="s">
        <v>3909</v>
      </c>
      <c r="D101" t="s">
        <v>3910</v>
      </c>
      <c r="E101" t="s">
        <v>3911</v>
      </c>
      <c r="F101" t="s">
        <v>3850</v>
      </c>
      <c r="G101" t="s">
        <v>4</v>
      </c>
      <c r="H101" t="s">
        <v>4</v>
      </c>
      <c r="I101" t="s">
        <v>3689</v>
      </c>
      <c r="J101" t="s">
        <v>4</v>
      </c>
      <c r="K101" t="s">
        <v>1159</v>
      </c>
      <c r="L101" t="s">
        <v>3633</v>
      </c>
      <c r="M101" t="s">
        <v>3634</v>
      </c>
      <c r="N101" t="s">
        <v>693</v>
      </c>
    </row>
    <row r="102" spans="1:14" ht="11.25" customHeight="1" x14ac:dyDescent="0.15">
      <c r="A102" t="s">
        <v>3627</v>
      </c>
      <c r="B102" t="s">
        <v>1</v>
      </c>
      <c r="C102" t="s">
        <v>3912</v>
      </c>
      <c r="D102" t="s">
        <v>3913</v>
      </c>
      <c r="E102" t="s">
        <v>3914</v>
      </c>
      <c r="F102" t="s">
        <v>37</v>
      </c>
      <c r="G102" t="s">
        <v>4</v>
      </c>
      <c r="H102" t="s">
        <v>4</v>
      </c>
      <c r="I102" t="s">
        <v>3639</v>
      </c>
      <c r="J102" t="s">
        <v>4</v>
      </c>
      <c r="K102" t="s">
        <v>1159</v>
      </c>
      <c r="L102" t="s">
        <v>3633</v>
      </c>
      <c r="M102" t="s">
        <v>3634</v>
      </c>
      <c r="N102" t="s">
        <v>693</v>
      </c>
    </row>
    <row r="103" spans="1:14" ht="11.25" customHeight="1" x14ac:dyDescent="0.15">
      <c r="A103" t="s">
        <v>3627</v>
      </c>
      <c r="B103" t="s">
        <v>1</v>
      </c>
      <c r="C103" t="s">
        <v>3915</v>
      </c>
      <c r="D103" t="s">
        <v>3916</v>
      </c>
      <c r="E103" t="s">
        <v>3917</v>
      </c>
      <c r="F103" t="s">
        <v>3758</v>
      </c>
      <c r="G103" t="s">
        <v>4</v>
      </c>
      <c r="H103" t="s">
        <v>4</v>
      </c>
      <c r="I103" t="s">
        <v>3676</v>
      </c>
      <c r="J103" t="s">
        <v>4</v>
      </c>
      <c r="K103" t="s">
        <v>1184</v>
      </c>
      <c r="L103" t="s">
        <v>3677</v>
      </c>
      <c r="M103" t="s">
        <v>3678</v>
      </c>
      <c r="N103" t="s">
        <v>693</v>
      </c>
    </row>
    <row r="104" spans="1:14" ht="11.25" customHeight="1" x14ac:dyDescent="0.15">
      <c r="A104" t="s">
        <v>3627</v>
      </c>
      <c r="B104" t="s">
        <v>1</v>
      </c>
      <c r="C104" t="s">
        <v>3918</v>
      </c>
      <c r="D104" t="s">
        <v>3919</v>
      </c>
      <c r="E104" t="s">
        <v>3920</v>
      </c>
      <c r="F104" t="s">
        <v>3921</v>
      </c>
      <c r="G104" t="s">
        <v>4</v>
      </c>
      <c r="H104" t="s">
        <v>4</v>
      </c>
      <c r="I104" t="s">
        <v>3684</v>
      </c>
      <c r="J104" t="s">
        <v>4</v>
      </c>
      <c r="K104" t="s">
        <v>1219</v>
      </c>
      <c r="L104" t="s">
        <v>3761</v>
      </c>
      <c r="M104" t="s">
        <v>3762</v>
      </c>
      <c r="N104" t="s">
        <v>693</v>
      </c>
    </row>
    <row r="105" spans="1:14" ht="11.25" customHeight="1" x14ac:dyDescent="0.15">
      <c r="A105" t="s">
        <v>3627</v>
      </c>
      <c r="B105" t="s">
        <v>1</v>
      </c>
      <c r="C105" t="s">
        <v>3922</v>
      </c>
      <c r="D105" t="s">
        <v>3923</v>
      </c>
      <c r="E105" t="s">
        <v>3924</v>
      </c>
      <c r="F105" t="s">
        <v>3850</v>
      </c>
      <c r="G105" t="s">
        <v>4</v>
      </c>
      <c r="H105" t="s">
        <v>4</v>
      </c>
      <c r="I105" t="s">
        <v>3925</v>
      </c>
      <c r="J105" t="s">
        <v>4</v>
      </c>
      <c r="K105" t="s">
        <v>1159</v>
      </c>
      <c r="L105" t="s">
        <v>3633</v>
      </c>
      <c r="M105" t="s">
        <v>3634</v>
      </c>
      <c r="N105" t="s">
        <v>693</v>
      </c>
    </row>
    <row r="106" spans="1:14" ht="11.25" customHeight="1" x14ac:dyDescent="0.15">
      <c r="A106" t="s">
        <v>3627</v>
      </c>
      <c r="B106" t="s">
        <v>1</v>
      </c>
      <c r="C106" t="s">
        <v>3926</v>
      </c>
      <c r="D106" t="s">
        <v>3927</v>
      </c>
      <c r="E106" t="s">
        <v>3928</v>
      </c>
      <c r="F106" t="s">
        <v>3929</v>
      </c>
      <c r="G106" t="s">
        <v>4</v>
      </c>
      <c r="H106" t="s">
        <v>4</v>
      </c>
      <c r="I106" t="s">
        <v>3676</v>
      </c>
      <c r="J106" t="s">
        <v>4</v>
      </c>
      <c r="K106" t="s">
        <v>1090</v>
      </c>
      <c r="L106" t="s">
        <v>3930</v>
      </c>
      <c r="M106" t="s">
        <v>3931</v>
      </c>
      <c r="N106" t="s">
        <v>693</v>
      </c>
    </row>
    <row r="107" spans="1:14" ht="11.25" customHeight="1" x14ac:dyDescent="0.15">
      <c r="A107" t="s">
        <v>3627</v>
      </c>
      <c r="B107" t="s">
        <v>1</v>
      </c>
      <c r="C107" t="s">
        <v>3926</v>
      </c>
      <c r="D107" t="s">
        <v>3927</v>
      </c>
      <c r="E107" t="s">
        <v>3928</v>
      </c>
      <c r="F107" t="s">
        <v>3929</v>
      </c>
      <c r="G107" t="s">
        <v>4</v>
      </c>
      <c r="H107" t="s">
        <v>4</v>
      </c>
      <c r="I107" t="s">
        <v>3676</v>
      </c>
      <c r="J107" t="s">
        <v>4</v>
      </c>
      <c r="K107" t="s">
        <v>1184</v>
      </c>
      <c r="L107" t="s">
        <v>3930</v>
      </c>
      <c r="M107" t="s">
        <v>3931</v>
      </c>
      <c r="N107" t="s">
        <v>693</v>
      </c>
    </row>
    <row r="108" spans="1:14" ht="11.25" customHeight="1" x14ac:dyDescent="0.15">
      <c r="A108" t="s">
        <v>3627</v>
      </c>
      <c r="B108" t="s">
        <v>1</v>
      </c>
      <c r="C108" t="s">
        <v>3926</v>
      </c>
      <c r="D108" t="s">
        <v>3927</v>
      </c>
      <c r="E108" t="s">
        <v>3928</v>
      </c>
      <c r="F108" t="s">
        <v>3929</v>
      </c>
      <c r="G108" t="s">
        <v>4</v>
      </c>
      <c r="H108" t="s">
        <v>4</v>
      </c>
      <c r="I108" t="s">
        <v>3676</v>
      </c>
      <c r="J108" t="s">
        <v>4</v>
      </c>
      <c r="K108" t="s">
        <v>1126</v>
      </c>
      <c r="L108" t="s">
        <v>3930</v>
      </c>
      <c r="M108" t="s">
        <v>3931</v>
      </c>
      <c r="N108" t="s">
        <v>693</v>
      </c>
    </row>
    <row r="109" spans="1:14" ht="11.25" customHeight="1" x14ac:dyDescent="0.15">
      <c r="A109" t="s">
        <v>3627</v>
      </c>
      <c r="B109" t="s">
        <v>1</v>
      </c>
      <c r="C109" t="s">
        <v>3635</v>
      </c>
      <c r="D109" t="s">
        <v>3636</v>
      </c>
      <c r="E109" t="s">
        <v>3637</v>
      </c>
      <c r="F109" t="s">
        <v>3638</v>
      </c>
      <c r="G109" t="s">
        <v>4</v>
      </c>
      <c r="H109" t="s">
        <v>4</v>
      </c>
      <c r="I109" t="s">
        <v>3639</v>
      </c>
      <c r="J109" t="s">
        <v>4</v>
      </c>
      <c r="K109" t="s">
        <v>3932</v>
      </c>
      <c r="L109" t="s">
        <v>3933</v>
      </c>
      <c r="M109" t="s">
        <v>3934</v>
      </c>
      <c r="N109" t="s">
        <v>696</v>
      </c>
    </row>
    <row r="110" spans="1:14" ht="11.25" customHeight="1" x14ac:dyDescent="0.15">
      <c r="A110" t="s">
        <v>3627</v>
      </c>
      <c r="B110" t="s">
        <v>1</v>
      </c>
      <c r="C110" t="s">
        <v>3643</v>
      </c>
      <c r="D110" t="s">
        <v>3644</v>
      </c>
      <c r="E110" t="s">
        <v>3645</v>
      </c>
      <c r="F110" t="s">
        <v>3646</v>
      </c>
      <c r="G110" t="s">
        <v>4</v>
      </c>
      <c r="H110" t="s">
        <v>4</v>
      </c>
      <c r="I110" t="s">
        <v>3647</v>
      </c>
      <c r="J110" t="s">
        <v>4</v>
      </c>
      <c r="K110" t="s">
        <v>3932</v>
      </c>
      <c r="L110" t="s">
        <v>3933</v>
      </c>
      <c r="M110" t="s">
        <v>3934</v>
      </c>
      <c r="N110" t="s">
        <v>696</v>
      </c>
    </row>
    <row r="111" spans="1:14" ht="11.25" customHeight="1" x14ac:dyDescent="0.15">
      <c r="A111" t="s">
        <v>3627</v>
      </c>
      <c r="B111" t="s">
        <v>1</v>
      </c>
      <c r="C111" t="s">
        <v>3643</v>
      </c>
      <c r="D111" t="s">
        <v>3644</v>
      </c>
      <c r="E111" t="s">
        <v>3645</v>
      </c>
      <c r="F111" t="s">
        <v>3646</v>
      </c>
      <c r="G111" t="s">
        <v>4</v>
      </c>
      <c r="H111" t="s">
        <v>4</v>
      </c>
      <c r="I111" t="s">
        <v>3647</v>
      </c>
      <c r="J111" t="s">
        <v>4</v>
      </c>
      <c r="K111" t="s">
        <v>3932</v>
      </c>
      <c r="L111" t="s">
        <v>3742</v>
      </c>
      <c r="M111" t="s">
        <v>3935</v>
      </c>
      <c r="N111" t="s">
        <v>696</v>
      </c>
    </row>
    <row r="112" spans="1:14" ht="11.25" customHeight="1" x14ac:dyDescent="0.15">
      <c r="A112" t="s">
        <v>3627</v>
      </c>
      <c r="B112" t="s">
        <v>1</v>
      </c>
      <c r="C112" t="s">
        <v>3655</v>
      </c>
      <c r="D112" t="s">
        <v>3656</v>
      </c>
      <c r="E112" t="s">
        <v>3657</v>
      </c>
      <c r="F112" t="s">
        <v>3658</v>
      </c>
      <c r="G112" t="s">
        <v>4</v>
      </c>
      <c r="H112" t="s">
        <v>4</v>
      </c>
      <c r="I112" t="s">
        <v>3936</v>
      </c>
      <c r="J112" t="s">
        <v>4</v>
      </c>
      <c r="K112" t="s">
        <v>3937</v>
      </c>
      <c r="L112" t="s">
        <v>3653</v>
      </c>
      <c r="M112" t="s">
        <v>3938</v>
      </c>
      <c r="N112" t="s">
        <v>696</v>
      </c>
    </row>
    <row r="113" spans="1:14" ht="11.25" customHeight="1" x14ac:dyDescent="0.15">
      <c r="A113" t="s">
        <v>3627</v>
      </c>
      <c r="B113" t="s">
        <v>1</v>
      </c>
      <c r="C113" t="s">
        <v>3660</v>
      </c>
      <c r="D113" t="s">
        <v>3661</v>
      </c>
      <c r="E113" t="s">
        <v>3662</v>
      </c>
      <c r="F113" t="s">
        <v>3663</v>
      </c>
      <c r="G113" t="s">
        <v>3664</v>
      </c>
      <c r="H113" t="s">
        <v>4</v>
      </c>
      <c r="I113" t="s">
        <v>3665</v>
      </c>
      <c r="J113" t="s">
        <v>4</v>
      </c>
      <c r="K113" t="s">
        <v>3932</v>
      </c>
      <c r="L113" t="s">
        <v>3933</v>
      </c>
      <c r="M113" t="s">
        <v>3934</v>
      </c>
      <c r="N113" t="s">
        <v>696</v>
      </c>
    </row>
    <row r="114" spans="1:14" ht="11.25" customHeight="1" x14ac:dyDescent="0.15">
      <c r="A114" t="s">
        <v>3627</v>
      </c>
      <c r="B114" t="s">
        <v>1</v>
      </c>
      <c r="C114" t="s">
        <v>3671</v>
      </c>
      <c r="D114" t="s">
        <v>3672</v>
      </c>
      <c r="E114" t="s">
        <v>3673</v>
      </c>
      <c r="F114" t="s">
        <v>3674</v>
      </c>
      <c r="G114" t="s">
        <v>3675</v>
      </c>
      <c r="H114" t="s">
        <v>4</v>
      </c>
      <c r="I114" t="s">
        <v>3676</v>
      </c>
      <c r="J114" t="s">
        <v>4</v>
      </c>
      <c r="K114" t="s">
        <v>3937</v>
      </c>
      <c r="L114" t="s">
        <v>3653</v>
      </c>
      <c r="M114" t="s">
        <v>3938</v>
      </c>
      <c r="N114" t="s">
        <v>696</v>
      </c>
    </row>
    <row r="115" spans="1:14" ht="11.25" customHeight="1" x14ac:dyDescent="0.15">
      <c r="A115" t="s">
        <v>3627</v>
      </c>
      <c r="B115" t="s">
        <v>1</v>
      </c>
      <c r="C115" t="s">
        <v>3679</v>
      </c>
      <c r="D115" t="s">
        <v>3680</v>
      </c>
      <c r="E115" t="s">
        <v>3681</v>
      </c>
      <c r="F115" t="s">
        <v>3682</v>
      </c>
      <c r="G115" t="s">
        <v>3683</v>
      </c>
      <c r="H115" t="s">
        <v>4</v>
      </c>
      <c r="I115" t="s">
        <v>3939</v>
      </c>
      <c r="J115" t="s">
        <v>4</v>
      </c>
      <c r="K115" t="s">
        <v>3937</v>
      </c>
      <c r="L115" t="s">
        <v>3940</v>
      </c>
      <c r="M115" t="s">
        <v>3941</v>
      </c>
      <c r="N115" t="s">
        <v>696</v>
      </c>
    </row>
    <row r="116" spans="1:14" ht="11.25" customHeight="1" x14ac:dyDescent="0.15">
      <c r="A116" t="s">
        <v>3627</v>
      </c>
      <c r="B116" t="s">
        <v>1</v>
      </c>
      <c r="C116" t="s">
        <v>3695</v>
      </c>
      <c r="D116" t="s">
        <v>3696</v>
      </c>
      <c r="E116" t="s">
        <v>3697</v>
      </c>
      <c r="F116" t="s">
        <v>3698</v>
      </c>
      <c r="G116" t="s">
        <v>4</v>
      </c>
      <c r="H116" t="s">
        <v>4</v>
      </c>
      <c r="I116" t="s">
        <v>3942</v>
      </c>
      <c r="J116" t="s">
        <v>4</v>
      </c>
      <c r="K116" t="s">
        <v>3937</v>
      </c>
      <c r="L116" t="s">
        <v>3943</v>
      </c>
      <c r="M116" t="s">
        <v>3944</v>
      </c>
      <c r="N116" t="s">
        <v>696</v>
      </c>
    </row>
    <row r="117" spans="1:14" ht="11.25" customHeight="1" x14ac:dyDescent="0.15">
      <c r="A117" t="s">
        <v>3627</v>
      </c>
      <c r="B117" t="s">
        <v>1</v>
      </c>
      <c r="C117" t="s">
        <v>3711</v>
      </c>
      <c r="D117" t="s">
        <v>3712</v>
      </c>
      <c r="E117" t="s">
        <v>3713</v>
      </c>
      <c r="F117" t="s">
        <v>3714</v>
      </c>
      <c r="G117" t="s">
        <v>4</v>
      </c>
      <c r="H117" t="s">
        <v>4</v>
      </c>
      <c r="I117" t="s">
        <v>3715</v>
      </c>
      <c r="J117" t="s">
        <v>4</v>
      </c>
      <c r="K117" t="s">
        <v>3937</v>
      </c>
      <c r="L117" t="s">
        <v>3940</v>
      </c>
      <c r="M117" t="s">
        <v>3941</v>
      </c>
      <c r="N117" t="s">
        <v>696</v>
      </c>
    </row>
    <row r="118" spans="1:14" ht="11.25" customHeight="1" x14ac:dyDescent="0.15">
      <c r="A118" t="s">
        <v>3627</v>
      </c>
      <c r="B118" t="s">
        <v>1</v>
      </c>
      <c r="C118" t="s">
        <v>3711</v>
      </c>
      <c r="D118" t="s">
        <v>3712</v>
      </c>
      <c r="E118" t="s">
        <v>3713</v>
      </c>
      <c r="F118" t="s">
        <v>3714</v>
      </c>
      <c r="G118" t="s">
        <v>4</v>
      </c>
      <c r="H118" t="s">
        <v>4</v>
      </c>
      <c r="I118" t="s">
        <v>3716</v>
      </c>
      <c r="J118" t="s">
        <v>4</v>
      </c>
      <c r="K118" t="s">
        <v>3937</v>
      </c>
      <c r="L118" t="s">
        <v>3940</v>
      </c>
      <c r="M118" t="s">
        <v>3941</v>
      </c>
      <c r="N118" t="s">
        <v>696</v>
      </c>
    </row>
    <row r="119" spans="1:14" ht="11.25" customHeight="1" x14ac:dyDescent="0.15">
      <c r="A119" t="s">
        <v>3627</v>
      </c>
      <c r="B119" t="s">
        <v>1</v>
      </c>
      <c r="C119" t="s">
        <v>3711</v>
      </c>
      <c r="D119" t="s">
        <v>3712</v>
      </c>
      <c r="E119" t="s">
        <v>3713</v>
      </c>
      <c r="F119" t="s">
        <v>3714</v>
      </c>
      <c r="G119" t="s">
        <v>4</v>
      </c>
      <c r="H119" t="s">
        <v>4</v>
      </c>
      <c r="I119" t="s">
        <v>3647</v>
      </c>
      <c r="J119" t="s">
        <v>4</v>
      </c>
      <c r="K119" t="s">
        <v>3937</v>
      </c>
      <c r="L119" t="s">
        <v>3940</v>
      </c>
      <c r="M119" t="s">
        <v>3941</v>
      </c>
      <c r="N119" t="s">
        <v>696</v>
      </c>
    </row>
    <row r="120" spans="1:14" ht="11.25" customHeight="1" x14ac:dyDescent="0.15">
      <c r="A120" t="s">
        <v>3627</v>
      </c>
      <c r="B120" t="s">
        <v>1</v>
      </c>
      <c r="C120" t="s">
        <v>3711</v>
      </c>
      <c r="D120" t="s">
        <v>3712</v>
      </c>
      <c r="E120" t="s">
        <v>3713</v>
      </c>
      <c r="F120" t="s">
        <v>3714</v>
      </c>
      <c r="G120" t="s">
        <v>4</v>
      </c>
      <c r="H120" t="s">
        <v>4</v>
      </c>
      <c r="I120" t="s">
        <v>3717</v>
      </c>
      <c r="J120" t="s">
        <v>4</v>
      </c>
      <c r="K120" t="s">
        <v>3932</v>
      </c>
      <c r="L120" t="s">
        <v>3933</v>
      </c>
      <c r="M120" t="s">
        <v>3934</v>
      </c>
      <c r="N120" t="s">
        <v>696</v>
      </c>
    </row>
    <row r="121" spans="1:14" ht="11.25" customHeight="1" x14ac:dyDescent="0.15">
      <c r="A121" t="s">
        <v>3627</v>
      </c>
      <c r="B121" t="s">
        <v>1</v>
      </c>
      <c r="C121" t="s">
        <v>3711</v>
      </c>
      <c r="D121" t="s">
        <v>3712</v>
      </c>
      <c r="E121" t="s">
        <v>3713</v>
      </c>
      <c r="F121" t="s">
        <v>3714</v>
      </c>
      <c r="G121" t="s">
        <v>4</v>
      </c>
      <c r="H121" t="s">
        <v>4</v>
      </c>
      <c r="I121" t="s">
        <v>3639</v>
      </c>
      <c r="J121" t="s">
        <v>4</v>
      </c>
      <c r="K121" t="s">
        <v>3932</v>
      </c>
      <c r="L121" t="s">
        <v>3933</v>
      </c>
      <c r="M121" t="s">
        <v>3934</v>
      </c>
      <c r="N121" t="s">
        <v>696</v>
      </c>
    </row>
    <row r="122" spans="1:14" ht="11.25" customHeight="1" x14ac:dyDescent="0.15">
      <c r="A122" t="s">
        <v>3627</v>
      </c>
      <c r="B122" t="s">
        <v>1</v>
      </c>
      <c r="C122" t="s">
        <v>3752</v>
      </c>
      <c r="D122" t="s">
        <v>32</v>
      </c>
      <c r="E122" t="s">
        <v>35</v>
      </c>
      <c r="F122" t="s">
        <v>37</v>
      </c>
      <c r="G122" t="s">
        <v>4</v>
      </c>
      <c r="H122" t="s">
        <v>4</v>
      </c>
      <c r="I122" t="s">
        <v>3632</v>
      </c>
      <c r="J122" t="s">
        <v>4</v>
      </c>
      <c r="K122" t="s">
        <v>3937</v>
      </c>
      <c r="L122" t="s">
        <v>3940</v>
      </c>
      <c r="M122" t="s">
        <v>3941</v>
      </c>
      <c r="N122" t="s">
        <v>696</v>
      </c>
    </row>
    <row r="123" spans="1:14" ht="11.25" customHeight="1" x14ac:dyDescent="0.15">
      <c r="A123" t="s">
        <v>3627</v>
      </c>
      <c r="B123" t="s">
        <v>1</v>
      </c>
      <c r="C123" t="s">
        <v>3752</v>
      </c>
      <c r="D123" t="s">
        <v>32</v>
      </c>
      <c r="E123" t="s">
        <v>35</v>
      </c>
      <c r="F123" t="s">
        <v>37</v>
      </c>
      <c r="G123" t="s">
        <v>4</v>
      </c>
      <c r="H123" t="s">
        <v>4</v>
      </c>
      <c r="I123" t="s">
        <v>3716</v>
      </c>
      <c r="J123" t="s">
        <v>4</v>
      </c>
      <c r="K123" t="s">
        <v>3937</v>
      </c>
      <c r="L123" t="s">
        <v>3940</v>
      </c>
      <c r="M123" t="s">
        <v>3941</v>
      </c>
      <c r="N123" t="s">
        <v>696</v>
      </c>
    </row>
    <row r="124" spans="1:14" ht="11.25" customHeight="1" x14ac:dyDescent="0.15">
      <c r="A124" t="s">
        <v>3627</v>
      </c>
      <c r="B124" t="s">
        <v>1</v>
      </c>
      <c r="C124" t="s">
        <v>3752</v>
      </c>
      <c r="D124" t="s">
        <v>32</v>
      </c>
      <c r="E124" t="s">
        <v>35</v>
      </c>
      <c r="F124" t="s">
        <v>37</v>
      </c>
      <c r="G124" t="s">
        <v>4</v>
      </c>
      <c r="H124" t="s">
        <v>4</v>
      </c>
      <c r="I124" t="s">
        <v>3767</v>
      </c>
      <c r="J124" t="s">
        <v>4</v>
      </c>
      <c r="K124" t="s">
        <v>3937</v>
      </c>
      <c r="L124" t="s">
        <v>3940</v>
      </c>
      <c r="M124" t="s">
        <v>3941</v>
      </c>
      <c r="N124" t="s">
        <v>696</v>
      </c>
    </row>
    <row r="125" spans="1:14" ht="11.25" customHeight="1" x14ac:dyDescent="0.15">
      <c r="A125" t="s">
        <v>3627</v>
      </c>
      <c r="B125" t="s">
        <v>1</v>
      </c>
      <c r="C125" t="s">
        <v>3752</v>
      </c>
      <c r="D125" t="s">
        <v>32</v>
      </c>
      <c r="E125" t="s">
        <v>35</v>
      </c>
      <c r="F125" t="s">
        <v>37</v>
      </c>
      <c r="G125" t="s">
        <v>4</v>
      </c>
      <c r="H125" t="s">
        <v>4</v>
      </c>
      <c r="I125" t="s">
        <v>3647</v>
      </c>
      <c r="J125" t="s">
        <v>4</v>
      </c>
      <c r="K125" t="s">
        <v>3937</v>
      </c>
      <c r="L125" t="s">
        <v>3940</v>
      </c>
      <c r="M125" t="s">
        <v>3941</v>
      </c>
      <c r="N125" t="s">
        <v>696</v>
      </c>
    </row>
    <row r="126" spans="1:14" ht="11.25" customHeight="1" x14ac:dyDescent="0.15">
      <c r="A126" t="s">
        <v>3627</v>
      </c>
      <c r="B126" t="s">
        <v>1</v>
      </c>
      <c r="C126" t="s">
        <v>3763</v>
      </c>
      <c r="D126" t="s">
        <v>3764</v>
      </c>
      <c r="E126" t="s">
        <v>3765</v>
      </c>
      <c r="F126" t="s">
        <v>3766</v>
      </c>
      <c r="G126" t="s">
        <v>4</v>
      </c>
      <c r="H126" t="s">
        <v>4</v>
      </c>
      <c r="I126" t="s">
        <v>3767</v>
      </c>
      <c r="J126" t="s">
        <v>4</v>
      </c>
      <c r="K126" t="s">
        <v>3937</v>
      </c>
      <c r="L126" t="s">
        <v>3940</v>
      </c>
      <c r="M126" t="s">
        <v>3941</v>
      </c>
      <c r="N126" t="s">
        <v>696</v>
      </c>
    </row>
    <row r="127" spans="1:14" ht="11.25" customHeight="1" x14ac:dyDescent="0.15">
      <c r="A127" t="s">
        <v>3627</v>
      </c>
      <c r="B127" t="s">
        <v>1</v>
      </c>
      <c r="C127" t="s">
        <v>3823</v>
      </c>
      <c r="D127" t="s">
        <v>3824</v>
      </c>
      <c r="E127" t="s">
        <v>3825</v>
      </c>
      <c r="F127" t="s">
        <v>3826</v>
      </c>
      <c r="G127" t="s">
        <v>3827</v>
      </c>
      <c r="H127" t="s">
        <v>4</v>
      </c>
      <c r="I127" t="s">
        <v>3828</v>
      </c>
      <c r="J127" t="s">
        <v>4</v>
      </c>
      <c r="K127" t="s">
        <v>3937</v>
      </c>
      <c r="L127" t="s">
        <v>3940</v>
      </c>
      <c r="M127" t="s">
        <v>3941</v>
      </c>
      <c r="N127" t="s">
        <v>696</v>
      </c>
    </row>
    <row r="128" spans="1:14" ht="11.25" customHeight="1" x14ac:dyDescent="0.15">
      <c r="A128" t="s">
        <v>3627</v>
      </c>
      <c r="B128" t="s">
        <v>1</v>
      </c>
      <c r="C128" t="s">
        <v>3829</v>
      </c>
      <c r="D128" t="s">
        <v>3830</v>
      </c>
      <c r="E128" t="s">
        <v>3831</v>
      </c>
      <c r="F128" t="s">
        <v>3832</v>
      </c>
      <c r="G128" t="s">
        <v>4</v>
      </c>
      <c r="H128" t="s">
        <v>4</v>
      </c>
      <c r="I128" t="s">
        <v>3833</v>
      </c>
      <c r="J128" t="s">
        <v>4</v>
      </c>
      <c r="K128" t="s">
        <v>3932</v>
      </c>
      <c r="L128" t="s">
        <v>3933</v>
      </c>
      <c r="M128" t="s">
        <v>3934</v>
      </c>
      <c r="N128" t="s">
        <v>696</v>
      </c>
    </row>
    <row r="129" spans="1:14" ht="11.25" customHeight="1" x14ac:dyDescent="0.15">
      <c r="A129" t="s">
        <v>3627</v>
      </c>
      <c r="B129" t="s">
        <v>1</v>
      </c>
      <c r="C129" t="s">
        <v>3829</v>
      </c>
      <c r="D129" t="s">
        <v>3830</v>
      </c>
      <c r="E129" t="s">
        <v>3831</v>
      </c>
      <c r="F129" t="s">
        <v>3832</v>
      </c>
      <c r="G129" t="s">
        <v>4</v>
      </c>
      <c r="H129" t="s">
        <v>4</v>
      </c>
      <c r="I129" t="s">
        <v>3833</v>
      </c>
      <c r="J129" t="s">
        <v>4</v>
      </c>
      <c r="K129" t="s">
        <v>3937</v>
      </c>
      <c r="L129" t="s">
        <v>3940</v>
      </c>
      <c r="M129" t="s">
        <v>3941</v>
      </c>
      <c r="N129" t="s">
        <v>696</v>
      </c>
    </row>
    <row r="130" spans="1:14" ht="11.25" customHeight="1" x14ac:dyDescent="0.15">
      <c r="A130" t="s">
        <v>3627</v>
      </c>
      <c r="B130" t="s">
        <v>1</v>
      </c>
      <c r="C130" t="s">
        <v>3896</v>
      </c>
      <c r="D130" t="s">
        <v>3897</v>
      </c>
      <c r="E130" t="s">
        <v>3898</v>
      </c>
      <c r="F130" t="s">
        <v>3850</v>
      </c>
      <c r="G130" t="s">
        <v>4</v>
      </c>
      <c r="H130" t="s">
        <v>4</v>
      </c>
      <c r="I130" t="s">
        <v>3632</v>
      </c>
      <c r="J130" t="s">
        <v>4</v>
      </c>
      <c r="K130" t="s">
        <v>3937</v>
      </c>
      <c r="L130" t="s">
        <v>3940</v>
      </c>
      <c r="M130" t="s">
        <v>3941</v>
      </c>
      <c r="N130" t="s">
        <v>696</v>
      </c>
    </row>
    <row r="131" spans="1:14" ht="11.25" customHeight="1" x14ac:dyDescent="0.15">
      <c r="A131" t="s">
        <v>3627</v>
      </c>
      <c r="B131" t="s">
        <v>1</v>
      </c>
      <c r="C131" t="s">
        <v>3899</v>
      </c>
      <c r="D131" t="s">
        <v>3900</v>
      </c>
      <c r="E131" t="s">
        <v>3901</v>
      </c>
      <c r="F131" t="s">
        <v>3902</v>
      </c>
      <c r="G131" t="s">
        <v>3903</v>
      </c>
      <c r="H131" t="s">
        <v>4</v>
      </c>
      <c r="I131" t="s">
        <v>3904</v>
      </c>
      <c r="J131" t="s">
        <v>4</v>
      </c>
      <c r="K131" t="s">
        <v>3937</v>
      </c>
      <c r="L131" t="s">
        <v>3653</v>
      </c>
      <c r="M131" t="s">
        <v>3938</v>
      </c>
      <c r="N131" t="s">
        <v>696</v>
      </c>
    </row>
    <row r="132" spans="1:14" ht="11.25" customHeight="1" x14ac:dyDescent="0.15">
      <c r="A132" t="s">
        <v>3627</v>
      </c>
      <c r="B132" t="s">
        <v>1</v>
      </c>
      <c r="C132" t="s">
        <v>3899</v>
      </c>
      <c r="D132" t="s">
        <v>3900</v>
      </c>
      <c r="E132" t="s">
        <v>3901</v>
      </c>
      <c r="F132" t="s">
        <v>3902</v>
      </c>
      <c r="G132" t="s">
        <v>3903</v>
      </c>
      <c r="H132" t="s">
        <v>4</v>
      </c>
      <c r="I132" t="s">
        <v>3945</v>
      </c>
      <c r="J132" t="s">
        <v>4</v>
      </c>
      <c r="K132" t="s">
        <v>3937</v>
      </c>
      <c r="L132" t="s">
        <v>3653</v>
      </c>
      <c r="M132" t="s">
        <v>3938</v>
      </c>
      <c r="N132" t="s">
        <v>696</v>
      </c>
    </row>
    <row r="133" spans="1:14" ht="11.25" customHeight="1" x14ac:dyDescent="0.15">
      <c r="A133" t="s">
        <v>3627</v>
      </c>
      <c r="B133" t="s">
        <v>1</v>
      </c>
      <c r="C133" t="s">
        <v>3899</v>
      </c>
      <c r="D133" t="s">
        <v>3900</v>
      </c>
      <c r="E133" t="s">
        <v>3901</v>
      </c>
      <c r="F133" t="s">
        <v>3902</v>
      </c>
      <c r="G133" t="s">
        <v>3903</v>
      </c>
      <c r="H133" t="s">
        <v>4</v>
      </c>
      <c r="I133" t="s">
        <v>3946</v>
      </c>
      <c r="J133" t="s">
        <v>4</v>
      </c>
      <c r="K133" t="s">
        <v>3937</v>
      </c>
      <c r="L133" t="s">
        <v>3653</v>
      </c>
      <c r="M133" t="s">
        <v>3938</v>
      </c>
      <c r="N133" t="s">
        <v>696</v>
      </c>
    </row>
    <row r="134" spans="1:14" ht="11.25" customHeight="1" x14ac:dyDescent="0.15">
      <c r="A134" t="s">
        <v>3627</v>
      </c>
      <c r="B134" t="s">
        <v>1</v>
      </c>
      <c r="C134" t="s">
        <v>3899</v>
      </c>
      <c r="D134" t="s">
        <v>3900</v>
      </c>
      <c r="E134" t="s">
        <v>3901</v>
      </c>
      <c r="F134" t="s">
        <v>3902</v>
      </c>
      <c r="G134" t="s">
        <v>3903</v>
      </c>
      <c r="H134" t="s">
        <v>4</v>
      </c>
      <c r="I134" t="s">
        <v>3639</v>
      </c>
      <c r="J134" t="s">
        <v>4</v>
      </c>
      <c r="K134" t="s">
        <v>3932</v>
      </c>
      <c r="L134" t="s">
        <v>3933</v>
      </c>
      <c r="M134" t="s">
        <v>3934</v>
      </c>
      <c r="N134" t="s">
        <v>696</v>
      </c>
    </row>
    <row r="135" spans="1:14" ht="11.25" customHeight="1" x14ac:dyDescent="0.15">
      <c r="A135" t="s">
        <v>3627</v>
      </c>
      <c r="B135" t="s">
        <v>1</v>
      </c>
      <c r="C135" t="s">
        <v>3922</v>
      </c>
      <c r="D135" t="s">
        <v>3923</v>
      </c>
      <c r="E135" t="s">
        <v>3924</v>
      </c>
      <c r="F135" t="s">
        <v>3850</v>
      </c>
      <c r="G135" t="s">
        <v>4</v>
      </c>
      <c r="H135" t="s">
        <v>4</v>
      </c>
      <c r="I135" t="s">
        <v>3947</v>
      </c>
      <c r="J135" t="s">
        <v>4</v>
      </c>
      <c r="K135" t="s">
        <v>3937</v>
      </c>
      <c r="L135" t="s">
        <v>3943</v>
      </c>
      <c r="M135" t="s">
        <v>3944</v>
      </c>
      <c r="N135" t="s">
        <v>696</v>
      </c>
    </row>
    <row r="136" spans="1:14" ht="11.25" customHeight="1" x14ac:dyDescent="0.15">
      <c r="A136" t="s">
        <v>3627</v>
      </c>
      <c r="B136" t="s">
        <v>1</v>
      </c>
      <c r="C136" t="s">
        <v>3948</v>
      </c>
      <c r="D136" t="s">
        <v>3949</v>
      </c>
      <c r="E136" t="s">
        <v>3950</v>
      </c>
      <c r="F136" t="s">
        <v>3844</v>
      </c>
      <c r="G136" t="s">
        <v>4</v>
      </c>
      <c r="H136" t="s">
        <v>4</v>
      </c>
      <c r="I136" t="s">
        <v>3639</v>
      </c>
      <c r="J136" t="s">
        <v>4</v>
      </c>
      <c r="K136" t="s">
        <v>3937</v>
      </c>
      <c r="L136" t="s">
        <v>3940</v>
      </c>
      <c r="M136" t="s">
        <v>3941</v>
      </c>
      <c r="N136" t="s">
        <v>696</v>
      </c>
    </row>
    <row r="137" spans="1:14" ht="11.25" customHeight="1" x14ac:dyDescent="0.15">
      <c r="A137" t="s">
        <v>3627</v>
      </c>
      <c r="B137" t="s">
        <v>1</v>
      </c>
      <c r="C137" t="s">
        <v>3628</v>
      </c>
      <c r="D137" t="s">
        <v>3629</v>
      </c>
      <c r="E137" t="s">
        <v>3630</v>
      </c>
      <c r="F137" t="s">
        <v>3631</v>
      </c>
      <c r="G137" t="s">
        <v>4</v>
      </c>
      <c r="H137" t="s">
        <v>4</v>
      </c>
      <c r="I137" t="s">
        <v>3632</v>
      </c>
      <c r="J137" t="s">
        <v>4</v>
      </c>
      <c r="K137" t="s">
        <v>3951</v>
      </c>
      <c r="L137" t="s">
        <v>3952</v>
      </c>
      <c r="M137" t="s">
        <v>3953</v>
      </c>
      <c r="N137" t="s">
        <v>694</v>
      </c>
    </row>
    <row r="138" spans="1:14" ht="11.25" customHeight="1" x14ac:dyDescent="0.15">
      <c r="A138" t="s">
        <v>3627</v>
      </c>
      <c r="B138" t="s">
        <v>1</v>
      </c>
      <c r="C138" t="s">
        <v>3628</v>
      </c>
      <c r="D138" t="s">
        <v>3629</v>
      </c>
      <c r="E138" t="s">
        <v>3630</v>
      </c>
      <c r="F138" t="s">
        <v>3631</v>
      </c>
      <c r="G138" t="s">
        <v>4</v>
      </c>
      <c r="H138" t="s">
        <v>4</v>
      </c>
      <c r="I138" t="s">
        <v>3632</v>
      </c>
      <c r="J138" t="s">
        <v>4</v>
      </c>
      <c r="K138" t="s">
        <v>3954</v>
      </c>
      <c r="L138" t="s">
        <v>3952</v>
      </c>
      <c r="M138" t="s">
        <v>3953</v>
      </c>
      <c r="N138" t="s">
        <v>694</v>
      </c>
    </row>
    <row r="139" spans="1:14" ht="11.25" customHeight="1" x14ac:dyDescent="0.15">
      <c r="A139" t="s">
        <v>3627</v>
      </c>
      <c r="B139" t="s">
        <v>1</v>
      </c>
      <c r="C139" t="s">
        <v>3643</v>
      </c>
      <c r="D139" t="s">
        <v>3644</v>
      </c>
      <c r="E139" t="s">
        <v>3645</v>
      </c>
      <c r="F139" t="s">
        <v>3646</v>
      </c>
      <c r="G139" t="s">
        <v>4</v>
      </c>
      <c r="H139" t="s">
        <v>4</v>
      </c>
      <c r="I139" t="s">
        <v>3647</v>
      </c>
      <c r="J139" t="s">
        <v>4</v>
      </c>
      <c r="K139" t="s">
        <v>3951</v>
      </c>
      <c r="L139" t="s">
        <v>3955</v>
      </c>
      <c r="M139" t="s">
        <v>3956</v>
      </c>
      <c r="N139" t="s">
        <v>694</v>
      </c>
    </row>
    <row r="140" spans="1:14" ht="11.25" customHeight="1" x14ac:dyDescent="0.15">
      <c r="A140" t="s">
        <v>3627</v>
      </c>
      <c r="B140" t="s">
        <v>1</v>
      </c>
      <c r="C140" t="s">
        <v>3957</v>
      </c>
      <c r="D140" t="s">
        <v>3958</v>
      </c>
      <c r="E140" t="s">
        <v>3959</v>
      </c>
      <c r="F140" t="s">
        <v>3758</v>
      </c>
      <c r="G140" t="s">
        <v>4</v>
      </c>
      <c r="H140" t="s">
        <v>4</v>
      </c>
      <c r="I140" t="s">
        <v>3960</v>
      </c>
      <c r="J140" t="s">
        <v>4</v>
      </c>
      <c r="K140" t="s">
        <v>3951</v>
      </c>
      <c r="L140" t="s">
        <v>3952</v>
      </c>
      <c r="M140" t="s">
        <v>3953</v>
      </c>
      <c r="N140" t="s">
        <v>694</v>
      </c>
    </row>
    <row r="141" spans="1:14" ht="11.25" customHeight="1" x14ac:dyDescent="0.15">
      <c r="A141" t="s">
        <v>3627</v>
      </c>
      <c r="B141" t="s">
        <v>1</v>
      </c>
      <c r="C141" t="s">
        <v>3957</v>
      </c>
      <c r="D141" t="s">
        <v>3958</v>
      </c>
      <c r="E141" t="s">
        <v>3959</v>
      </c>
      <c r="F141" t="s">
        <v>3758</v>
      </c>
      <c r="G141" t="s">
        <v>4</v>
      </c>
      <c r="H141" t="s">
        <v>4</v>
      </c>
      <c r="I141" t="s">
        <v>3960</v>
      </c>
      <c r="J141" t="s">
        <v>4</v>
      </c>
      <c r="K141" t="s">
        <v>3954</v>
      </c>
      <c r="L141" t="s">
        <v>3952</v>
      </c>
      <c r="M141" t="s">
        <v>3953</v>
      </c>
      <c r="N141" t="s">
        <v>694</v>
      </c>
    </row>
    <row r="142" spans="1:14" ht="11.25" customHeight="1" x14ac:dyDescent="0.15">
      <c r="A142" t="s">
        <v>3627</v>
      </c>
      <c r="B142" t="s">
        <v>1</v>
      </c>
      <c r="C142" t="s">
        <v>3671</v>
      </c>
      <c r="D142" t="s">
        <v>3672</v>
      </c>
      <c r="E142" t="s">
        <v>3673</v>
      </c>
      <c r="F142" t="s">
        <v>3674</v>
      </c>
      <c r="G142" t="s">
        <v>3675</v>
      </c>
      <c r="H142" t="s">
        <v>4</v>
      </c>
      <c r="I142" t="s">
        <v>3744</v>
      </c>
      <c r="J142" t="s">
        <v>4</v>
      </c>
      <c r="K142" t="s">
        <v>3951</v>
      </c>
      <c r="L142" t="s">
        <v>3961</v>
      </c>
      <c r="M142" t="s">
        <v>3962</v>
      </c>
      <c r="N142" t="s">
        <v>694</v>
      </c>
    </row>
    <row r="143" spans="1:14" ht="11.25" customHeight="1" x14ac:dyDescent="0.15">
      <c r="A143" t="s">
        <v>3627</v>
      </c>
      <c r="B143" t="s">
        <v>1</v>
      </c>
      <c r="C143" t="s">
        <v>3671</v>
      </c>
      <c r="D143" t="s">
        <v>3672</v>
      </c>
      <c r="E143" t="s">
        <v>3673</v>
      </c>
      <c r="F143" t="s">
        <v>3674</v>
      </c>
      <c r="G143" t="s">
        <v>3675</v>
      </c>
      <c r="H143" t="s">
        <v>4</v>
      </c>
      <c r="I143" t="s">
        <v>3744</v>
      </c>
      <c r="J143" t="s">
        <v>4</v>
      </c>
      <c r="K143" t="s">
        <v>3954</v>
      </c>
      <c r="L143" t="s">
        <v>3961</v>
      </c>
      <c r="M143" t="s">
        <v>3962</v>
      </c>
      <c r="N143" t="s">
        <v>694</v>
      </c>
    </row>
    <row r="144" spans="1:14" ht="11.25" customHeight="1" x14ac:dyDescent="0.15">
      <c r="A144" t="s">
        <v>3627</v>
      </c>
      <c r="B144" t="s">
        <v>1</v>
      </c>
      <c r="C144" t="s">
        <v>3671</v>
      </c>
      <c r="D144" t="s">
        <v>3672</v>
      </c>
      <c r="E144" t="s">
        <v>3673</v>
      </c>
      <c r="F144" t="s">
        <v>3674</v>
      </c>
      <c r="G144" t="s">
        <v>3675</v>
      </c>
      <c r="H144" t="s">
        <v>4</v>
      </c>
      <c r="I144" t="s">
        <v>3744</v>
      </c>
      <c r="J144" t="s">
        <v>4</v>
      </c>
      <c r="K144" t="s">
        <v>3951</v>
      </c>
      <c r="L144" t="s">
        <v>3963</v>
      </c>
      <c r="M144" t="s">
        <v>3964</v>
      </c>
      <c r="N144" t="s">
        <v>694</v>
      </c>
    </row>
    <row r="145" spans="1:14" ht="11.25" customHeight="1" x14ac:dyDescent="0.15">
      <c r="A145" t="s">
        <v>3627</v>
      </c>
      <c r="B145" t="s">
        <v>1</v>
      </c>
      <c r="C145" t="s">
        <v>3671</v>
      </c>
      <c r="D145" t="s">
        <v>3672</v>
      </c>
      <c r="E145" t="s">
        <v>3673</v>
      </c>
      <c r="F145" t="s">
        <v>3674</v>
      </c>
      <c r="G145" t="s">
        <v>3675</v>
      </c>
      <c r="H145" t="s">
        <v>4</v>
      </c>
      <c r="I145" t="s">
        <v>3744</v>
      </c>
      <c r="J145" t="s">
        <v>4</v>
      </c>
      <c r="K145" t="s">
        <v>3954</v>
      </c>
      <c r="L145" t="s">
        <v>3963</v>
      </c>
      <c r="M145" t="s">
        <v>3964</v>
      </c>
      <c r="N145" t="s">
        <v>694</v>
      </c>
    </row>
    <row r="146" spans="1:14" ht="11.25" customHeight="1" x14ac:dyDescent="0.15">
      <c r="A146" t="s">
        <v>3627</v>
      </c>
      <c r="B146" t="s">
        <v>1</v>
      </c>
      <c r="C146" t="s">
        <v>3965</v>
      </c>
      <c r="D146" t="s">
        <v>3966</v>
      </c>
      <c r="E146" t="s">
        <v>3967</v>
      </c>
      <c r="F146" t="s">
        <v>3721</v>
      </c>
      <c r="G146" t="s">
        <v>4</v>
      </c>
      <c r="H146" t="s">
        <v>4</v>
      </c>
      <c r="I146" t="s">
        <v>3647</v>
      </c>
      <c r="J146" t="s">
        <v>4</v>
      </c>
      <c r="K146" t="s">
        <v>3951</v>
      </c>
      <c r="L146" t="s">
        <v>3968</v>
      </c>
      <c r="M146" t="s">
        <v>3969</v>
      </c>
      <c r="N146" t="s">
        <v>694</v>
      </c>
    </row>
    <row r="147" spans="1:14" ht="11.25" customHeight="1" x14ac:dyDescent="0.15">
      <c r="A147" t="s">
        <v>3627</v>
      </c>
      <c r="B147" t="s">
        <v>1</v>
      </c>
      <c r="C147" t="s">
        <v>3690</v>
      </c>
      <c r="D147" t="s">
        <v>3691</v>
      </c>
      <c r="E147" t="s">
        <v>3692</v>
      </c>
      <c r="F147" t="s">
        <v>3693</v>
      </c>
      <c r="G147" t="s">
        <v>3694</v>
      </c>
      <c r="H147" t="s">
        <v>4</v>
      </c>
      <c r="I147" t="s">
        <v>3970</v>
      </c>
      <c r="J147" t="s">
        <v>4</v>
      </c>
      <c r="K147" t="s">
        <v>3954</v>
      </c>
      <c r="L147" t="s">
        <v>3971</v>
      </c>
      <c r="M147" t="s">
        <v>3972</v>
      </c>
      <c r="N147" t="s">
        <v>694</v>
      </c>
    </row>
    <row r="148" spans="1:14" ht="11.25" customHeight="1" x14ac:dyDescent="0.15">
      <c r="A148" t="s">
        <v>3627</v>
      </c>
      <c r="B148" t="s">
        <v>1</v>
      </c>
      <c r="C148" t="s">
        <v>3711</v>
      </c>
      <c r="D148" t="s">
        <v>3712</v>
      </c>
      <c r="E148" t="s">
        <v>3713</v>
      </c>
      <c r="F148" t="s">
        <v>3714</v>
      </c>
      <c r="G148" t="s">
        <v>4</v>
      </c>
      <c r="H148" t="s">
        <v>4</v>
      </c>
      <c r="I148" t="s">
        <v>3715</v>
      </c>
      <c r="J148" t="s">
        <v>4</v>
      </c>
      <c r="K148" t="s">
        <v>3951</v>
      </c>
      <c r="L148" t="s">
        <v>3973</v>
      </c>
      <c r="M148" t="s">
        <v>3974</v>
      </c>
      <c r="N148" t="s">
        <v>694</v>
      </c>
    </row>
    <row r="149" spans="1:14" ht="11.25" customHeight="1" x14ac:dyDescent="0.15">
      <c r="A149" t="s">
        <v>3627</v>
      </c>
      <c r="B149" t="s">
        <v>1</v>
      </c>
      <c r="C149" t="s">
        <v>3711</v>
      </c>
      <c r="D149" t="s">
        <v>3712</v>
      </c>
      <c r="E149" t="s">
        <v>3713</v>
      </c>
      <c r="F149" t="s">
        <v>3714</v>
      </c>
      <c r="G149" t="s">
        <v>4</v>
      </c>
      <c r="H149" t="s">
        <v>4</v>
      </c>
      <c r="I149" t="s">
        <v>3716</v>
      </c>
      <c r="J149" t="s">
        <v>4</v>
      </c>
      <c r="K149" t="s">
        <v>3951</v>
      </c>
      <c r="L149" t="s">
        <v>3973</v>
      </c>
      <c r="M149" t="s">
        <v>3974</v>
      </c>
      <c r="N149" t="s">
        <v>694</v>
      </c>
    </row>
    <row r="150" spans="1:14" ht="11.25" customHeight="1" x14ac:dyDescent="0.15">
      <c r="A150" t="s">
        <v>3627</v>
      </c>
      <c r="B150" t="s">
        <v>1</v>
      </c>
      <c r="C150" t="s">
        <v>3711</v>
      </c>
      <c r="D150" t="s">
        <v>3712</v>
      </c>
      <c r="E150" t="s">
        <v>3713</v>
      </c>
      <c r="F150" t="s">
        <v>3714</v>
      </c>
      <c r="G150" t="s">
        <v>4</v>
      </c>
      <c r="H150" t="s">
        <v>4</v>
      </c>
      <c r="I150" t="s">
        <v>3767</v>
      </c>
      <c r="J150" t="s">
        <v>4</v>
      </c>
      <c r="K150" t="s">
        <v>3951</v>
      </c>
      <c r="L150" t="s">
        <v>3971</v>
      </c>
      <c r="M150" t="s">
        <v>3975</v>
      </c>
      <c r="N150" t="s">
        <v>694</v>
      </c>
    </row>
    <row r="151" spans="1:14" ht="11.25" customHeight="1" x14ac:dyDescent="0.15">
      <c r="A151" t="s">
        <v>3627</v>
      </c>
      <c r="B151" t="s">
        <v>1</v>
      </c>
      <c r="C151" t="s">
        <v>3711</v>
      </c>
      <c r="D151" t="s">
        <v>3712</v>
      </c>
      <c r="E151" t="s">
        <v>3713</v>
      </c>
      <c r="F151" t="s">
        <v>3714</v>
      </c>
      <c r="G151" t="s">
        <v>4</v>
      </c>
      <c r="H151" t="s">
        <v>4</v>
      </c>
      <c r="I151" t="s">
        <v>3647</v>
      </c>
      <c r="J151" t="s">
        <v>4</v>
      </c>
      <c r="K151" t="s">
        <v>3951</v>
      </c>
      <c r="L151" t="s">
        <v>3973</v>
      </c>
      <c r="M151" t="s">
        <v>3974</v>
      </c>
      <c r="N151" t="s">
        <v>694</v>
      </c>
    </row>
    <row r="152" spans="1:14" ht="11.25" customHeight="1" x14ac:dyDescent="0.15">
      <c r="A152" t="s">
        <v>3627</v>
      </c>
      <c r="B152" t="s">
        <v>1</v>
      </c>
      <c r="C152" t="s">
        <v>3976</v>
      </c>
      <c r="D152" t="s">
        <v>3977</v>
      </c>
      <c r="E152" t="s">
        <v>3978</v>
      </c>
      <c r="F152" t="s">
        <v>1685</v>
      </c>
      <c r="G152" t="s">
        <v>4</v>
      </c>
      <c r="H152" t="s">
        <v>4</v>
      </c>
      <c r="I152" t="s">
        <v>3979</v>
      </c>
      <c r="J152" t="s">
        <v>4</v>
      </c>
      <c r="K152" t="s">
        <v>3951</v>
      </c>
      <c r="L152" t="s">
        <v>3971</v>
      </c>
      <c r="M152" t="s">
        <v>3975</v>
      </c>
      <c r="N152" t="s">
        <v>694</v>
      </c>
    </row>
    <row r="153" spans="1:14" ht="11.25" customHeight="1" x14ac:dyDescent="0.15">
      <c r="A153" t="s">
        <v>3627</v>
      </c>
      <c r="B153" t="s">
        <v>1</v>
      </c>
      <c r="C153" t="s">
        <v>3980</v>
      </c>
      <c r="D153" t="s">
        <v>3981</v>
      </c>
      <c r="E153" t="s">
        <v>3982</v>
      </c>
      <c r="F153" t="s">
        <v>1685</v>
      </c>
      <c r="G153" t="s">
        <v>4</v>
      </c>
      <c r="H153" t="s">
        <v>4</v>
      </c>
      <c r="I153" t="s">
        <v>3639</v>
      </c>
      <c r="J153" t="s">
        <v>4</v>
      </c>
      <c r="K153" t="s">
        <v>3951</v>
      </c>
      <c r="L153" t="s">
        <v>3983</v>
      </c>
      <c r="M153" t="s">
        <v>3984</v>
      </c>
      <c r="N153" t="s">
        <v>694</v>
      </c>
    </row>
    <row r="154" spans="1:14" ht="11.25" customHeight="1" x14ac:dyDescent="0.15">
      <c r="A154" t="s">
        <v>3627</v>
      </c>
      <c r="B154" t="s">
        <v>1</v>
      </c>
      <c r="C154" t="s">
        <v>3985</v>
      </c>
      <c r="D154" t="s">
        <v>3986</v>
      </c>
      <c r="E154" t="s">
        <v>3987</v>
      </c>
      <c r="F154" t="s">
        <v>1685</v>
      </c>
      <c r="G154" t="s">
        <v>4</v>
      </c>
      <c r="H154" t="s">
        <v>4</v>
      </c>
      <c r="I154" t="s">
        <v>3639</v>
      </c>
      <c r="J154" t="s">
        <v>4</v>
      </c>
      <c r="K154" t="s">
        <v>3951</v>
      </c>
      <c r="L154" t="s">
        <v>3988</v>
      </c>
      <c r="M154" t="s">
        <v>3989</v>
      </c>
      <c r="N154" t="s">
        <v>694</v>
      </c>
    </row>
    <row r="155" spans="1:14" ht="11.25" customHeight="1" x14ac:dyDescent="0.15">
      <c r="A155" t="s">
        <v>3627</v>
      </c>
      <c r="B155" t="s">
        <v>1</v>
      </c>
      <c r="C155" t="s">
        <v>3990</v>
      </c>
      <c r="D155" t="s">
        <v>3991</v>
      </c>
      <c r="E155" t="s">
        <v>3992</v>
      </c>
      <c r="F155" t="s">
        <v>3993</v>
      </c>
      <c r="G155" t="s">
        <v>4</v>
      </c>
      <c r="H155" t="s">
        <v>4</v>
      </c>
      <c r="I155" t="s">
        <v>3767</v>
      </c>
      <c r="J155" t="s">
        <v>4</v>
      </c>
      <c r="K155" t="s">
        <v>3951</v>
      </c>
      <c r="L155" t="s">
        <v>3971</v>
      </c>
      <c r="M155" t="s">
        <v>3975</v>
      </c>
      <c r="N155" t="s">
        <v>694</v>
      </c>
    </row>
    <row r="156" spans="1:14" ht="11.25" customHeight="1" x14ac:dyDescent="0.15">
      <c r="A156" t="s">
        <v>3627</v>
      </c>
      <c r="B156" t="s">
        <v>1</v>
      </c>
      <c r="C156" t="s">
        <v>3752</v>
      </c>
      <c r="D156" t="s">
        <v>32</v>
      </c>
      <c r="E156" t="s">
        <v>35</v>
      </c>
      <c r="F156" t="s">
        <v>37</v>
      </c>
      <c r="G156" t="s">
        <v>4</v>
      </c>
      <c r="H156" t="s">
        <v>4</v>
      </c>
      <c r="I156" t="s">
        <v>3632</v>
      </c>
      <c r="J156" t="s">
        <v>4</v>
      </c>
      <c r="K156" t="s">
        <v>3951</v>
      </c>
      <c r="L156" t="s">
        <v>3994</v>
      </c>
      <c r="M156" t="s">
        <v>3995</v>
      </c>
      <c r="N156" t="s">
        <v>694</v>
      </c>
    </row>
    <row r="157" spans="1:14" ht="11.25" customHeight="1" x14ac:dyDescent="0.15">
      <c r="A157" t="s">
        <v>3627</v>
      </c>
      <c r="B157" t="s">
        <v>1</v>
      </c>
      <c r="C157" t="s">
        <v>3752</v>
      </c>
      <c r="D157" t="s">
        <v>32</v>
      </c>
      <c r="E157" t="s">
        <v>35</v>
      </c>
      <c r="F157" t="s">
        <v>37</v>
      </c>
      <c r="G157" t="s">
        <v>4</v>
      </c>
      <c r="H157" t="s">
        <v>4</v>
      </c>
      <c r="I157" t="s">
        <v>3996</v>
      </c>
      <c r="J157" t="s">
        <v>4</v>
      </c>
      <c r="K157" t="s">
        <v>3951</v>
      </c>
      <c r="L157" t="s">
        <v>3997</v>
      </c>
      <c r="M157" t="s">
        <v>3998</v>
      </c>
      <c r="N157" t="s">
        <v>694</v>
      </c>
    </row>
    <row r="158" spans="1:14" ht="11.25" customHeight="1" x14ac:dyDescent="0.15">
      <c r="A158" t="s">
        <v>3627</v>
      </c>
      <c r="B158" t="s">
        <v>1</v>
      </c>
      <c r="C158" t="s">
        <v>3752</v>
      </c>
      <c r="D158" t="s">
        <v>32</v>
      </c>
      <c r="E158" t="s">
        <v>35</v>
      </c>
      <c r="F158" t="s">
        <v>37</v>
      </c>
      <c r="G158" t="s">
        <v>4</v>
      </c>
      <c r="H158" t="s">
        <v>4</v>
      </c>
      <c r="I158" t="s">
        <v>3996</v>
      </c>
      <c r="J158" t="s">
        <v>4</v>
      </c>
      <c r="K158" t="s">
        <v>3954</v>
      </c>
      <c r="L158" t="s">
        <v>3997</v>
      </c>
      <c r="M158" t="s">
        <v>3998</v>
      </c>
      <c r="N158" t="s">
        <v>694</v>
      </c>
    </row>
    <row r="159" spans="1:14" ht="11.25" customHeight="1" x14ac:dyDescent="0.15">
      <c r="A159" t="s">
        <v>3627</v>
      </c>
      <c r="B159" t="s">
        <v>1</v>
      </c>
      <c r="C159" t="s">
        <v>3752</v>
      </c>
      <c r="D159" t="s">
        <v>32</v>
      </c>
      <c r="E159" t="s">
        <v>35</v>
      </c>
      <c r="F159" t="s">
        <v>37</v>
      </c>
      <c r="G159" t="s">
        <v>4</v>
      </c>
      <c r="H159" t="s">
        <v>4</v>
      </c>
      <c r="I159" t="s">
        <v>3716</v>
      </c>
      <c r="J159" t="s">
        <v>4</v>
      </c>
      <c r="K159" t="s">
        <v>3951</v>
      </c>
      <c r="L159" t="s">
        <v>3994</v>
      </c>
      <c r="M159" t="s">
        <v>3995</v>
      </c>
      <c r="N159" t="s">
        <v>694</v>
      </c>
    </row>
    <row r="160" spans="1:14" ht="11.25" customHeight="1" x14ac:dyDescent="0.15">
      <c r="A160" t="s">
        <v>3627</v>
      </c>
      <c r="B160" t="s">
        <v>1</v>
      </c>
      <c r="C160" t="s">
        <v>3752</v>
      </c>
      <c r="D160" t="s">
        <v>32</v>
      </c>
      <c r="E160" t="s">
        <v>35</v>
      </c>
      <c r="F160" t="s">
        <v>37</v>
      </c>
      <c r="G160" t="s">
        <v>4</v>
      </c>
      <c r="H160" t="s">
        <v>4</v>
      </c>
      <c r="I160" t="s">
        <v>3767</v>
      </c>
      <c r="J160" t="s">
        <v>4</v>
      </c>
      <c r="K160" t="s">
        <v>3951</v>
      </c>
      <c r="L160" t="s">
        <v>3994</v>
      </c>
      <c r="M160" t="s">
        <v>3995</v>
      </c>
      <c r="N160" t="s">
        <v>694</v>
      </c>
    </row>
    <row r="161" spans="1:14" ht="11.25" customHeight="1" x14ac:dyDescent="0.15">
      <c r="A161" t="s">
        <v>3627</v>
      </c>
      <c r="B161" t="s">
        <v>1</v>
      </c>
      <c r="C161" t="s">
        <v>3752</v>
      </c>
      <c r="D161" t="s">
        <v>32</v>
      </c>
      <c r="E161" t="s">
        <v>35</v>
      </c>
      <c r="F161" t="s">
        <v>37</v>
      </c>
      <c r="G161" t="s">
        <v>4</v>
      </c>
      <c r="H161" t="s">
        <v>4</v>
      </c>
      <c r="I161" t="s">
        <v>3647</v>
      </c>
      <c r="J161" t="s">
        <v>4</v>
      </c>
      <c r="K161" t="s">
        <v>3951</v>
      </c>
      <c r="L161" t="s">
        <v>3994</v>
      </c>
      <c r="M161" t="s">
        <v>3995</v>
      </c>
      <c r="N161" t="s">
        <v>694</v>
      </c>
    </row>
    <row r="162" spans="1:14" ht="11.25" customHeight="1" x14ac:dyDescent="0.15">
      <c r="A162" t="s">
        <v>3627</v>
      </c>
      <c r="B162" t="s">
        <v>1</v>
      </c>
      <c r="C162" t="s">
        <v>3999</v>
      </c>
      <c r="D162" t="s">
        <v>4000</v>
      </c>
      <c r="E162" t="s">
        <v>4001</v>
      </c>
      <c r="F162" t="s">
        <v>3844</v>
      </c>
      <c r="G162" t="s">
        <v>4</v>
      </c>
      <c r="H162" t="s">
        <v>4</v>
      </c>
      <c r="I162" t="s">
        <v>3632</v>
      </c>
      <c r="J162" t="s">
        <v>4</v>
      </c>
      <c r="K162" t="s">
        <v>3951</v>
      </c>
      <c r="L162" t="s">
        <v>3994</v>
      </c>
      <c r="M162" t="s">
        <v>3995</v>
      </c>
      <c r="N162" t="s">
        <v>694</v>
      </c>
    </row>
    <row r="163" spans="1:14" ht="11.25" customHeight="1" x14ac:dyDescent="0.15">
      <c r="A163" t="s">
        <v>3627</v>
      </c>
      <c r="B163" t="s">
        <v>1</v>
      </c>
      <c r="C163" t="s">
        <v>3999</v>
      </c>
      <c r="D163" t="s">
        <v>4000</v>
      </c>
      <c r="E163" t="s">
        <v>4001</v>
      </c>
      <c r="F163" t="s">
        <v>3844</v>
      </c>
      <c r="G163" t="s">
        <v>4</v>
      </c>
      <c r="H163" t="s">
        <v>4</v>
      </c>
      <c r="I163" t="s">
        <v>4002</v>
      </c>
      <c r="J163" t="s">
        <v>4</v>
      </c>
      <c r="K163" t="s">
        <v>3951</v>
      </c>
      <c r="L163" t="s">
        <v>3971</v>
      </c>
      <c r="M163" t="s">
        <v>4003</v>
      </c>
      <c r="N163" t="s">
        <v>694</v>
      </c>
    </row>
    <row r="164" spans="1:14" ht="11.25" customHeight="1" x14ac:dyDescent="0.15">
      <c r="A164" t="s">
        <v>3627</v>
      </c>
      <c r="B164" t="s">
        <v>1</v>
      </c>
      <c r="C164" t="s">
        <v>3999</v>
      </c>
      <c r="D164" t="s">
        <v>4000</v>
      </c>
      <c r="E164" t="s">
        <v>4001</v>
      </c>
      <c r="F164" t="s">
        <v>3844</v>
      </c>
      <c r="G164" t="s">
        <v>4</v>
      </c>
      <c r="H164" t="s">
        <v>4</v>
      </c>
      <c r="I164" t="s">
        <v>4002</v>
      </c>
      <c r="J164" t="s">
        <v>4</v>
      </c>
      <c r="K164" t="s">
        <v>3951</v>
      </c>
      <c r="L164" t="s">
        <v>3983</v>
      </c>
      <c r="M164" t="s">
        <v>3984</v>
      </c>
      <c r="N164" t="s">
        <v>694</v>
      </c>
    </row>
    <row r="165" spans="1:14" ht="11.25" customHeight="1" x14ac:dyDescent="0.15">
      <c r="A165" t="s">
        <v>3627</v>
      </c>
      <c r="B165" t="s">
        <v>1</v>
      </c>
      <c r="C165" t="s">
        <v>3999</v>
      </c>
      <c r="D165" t="s">
        <v>4000</v>
      </c>
      <c r="E165" t="s">
        <v>4001</v>
      </c>
      <c r="F165" t="s">
        <v>3844</v>
      </c>
      <c r="G165" t="s">
        <v>4</v>
      </c>
      <c r="H165" t="s">
        <v>4</v>
      </c>
      <c r="I165" t="s">
        <v>4004</v>
      </c>
      <c r="J165" t="s">
        <v>4</v>
      </c>
      <c r="K165" t="s">
        <v>3951</v>
      </c>
      <c r="L165" t="s">
        <v>4005</v>
      </c>
      <c r="M165" t="s">
        <v>4006</v>
      </c>
      <c r="N165" t="s">
        <v>694</v>
      </c>
    </row>
    <row r="166" spans="1:14" ht="11.25" customHeight="1" x14ac:dyDescent="0.15">
      <c r="A166" t="s">
        <v>3627</v>
      </c>
      <c r="B166" t="s">
        <v>1</v>
      </c>
      <c r="C166" t="s">
        <v>3999</v>
      </c>
      <c r="D166" t="s">
        <v>4000</v>
      </c>
      <c r="E166" t="s">
        <v>4001</v>
      </c>
      <c r="F166" t="s">
        <v>3844</v>
      </c>
      <c r="G166" t="s">
        <v>4</v>
      </c>
      <c r="H166" t="s">
        <v>4</v>
      </c>
      <c r="I166" t="s">
        <v>4004</v>
      </c>
      <c r="J166" t="s">
        <v>4</v>
      </c>
      <c r="K166" t="s">
        <v>3954</v>
      </c>
      <c r="L166" t="s">
        <v>4005</v>
      </c>
      <c r="M166" t="s">
        <v>4006</v>
      </c>
      <c r="N166" t="s">
        <v>694</v>
      </c>
    </row>
    <row r="167" spans="1:14" ht="11.25" customHeight="1" x14ac:dyDescent="0.15">
      <c r="A167" t="s">
        <v>3627</v>
      </c>
      <c r="B167" t="s">
        <v>1</v>
      </c>
      <c r="C167" t="s">
        <v>3999</v>
      </c>
      <c r="D167" t="s">
        <v>4000</v>
      </c>
      <c r="E167" t="s">
        <v>4001</v>
      </c>
      <c r="F167" t="s">
        <v>3844</v>
      </c>
      <c r="G167" t="s">
        <v>4</v>
      </c>
      <c r="H167" t="s">
        <v>4</v>
      </c>
      <c r="I167" t="s">
        <v>3767</v>
      </c>
      <c r="J167" t="s">
        <v>4</v>
      </c>
      <c r="K167" t="s">
        <v>3951</v>
      </c>
      <c r="L167" t="s">
        <v>3983</v>
      </c>
      <c r="M167" t="s">
        <v>3984</v>
      </c>
      <c r="N167" t="s">
        <v>694</v>
      </c>
    </row>
    <row r="168" spans="1:14" ht="11.25" customHeight="1" x14ac:dyDescent="0.15">
      <c r="A168" t="s">
        <v>3627</v>
      </c>
      <c r="B168" t="s">
        <v>1</v>
      </c>
      <c r="C168" t="s">
        <v>3999</v>
      </c>
      <c r="D168" t="s">
        <v>4000</v>
      </c>
      <c r="E168" t="s">
        <v>4001</v>
      </c>
      <c r="F168" t="s">
        <v>3844</v>
      </c>
      <c r="G168" t="s">
        <v>4</v>
      </c>
      <c r="H168" t="s">
        <v>4</v>
      </c>
      <c r="I168" t="s">
        <v>3767</v>
      </c>
      <c r="J168" t="s">
        <v>4</v>
      </c>
      <c r="K168" t="s">
        <v>3951</v>
      </c>
      <c r="L168" t="s">
        <v>3997</v>
      </c>
      <c r="M168" t="s">
        <v>3998</v>
      </c>
      <c r="N168" t="s">
        <v>694</v>
      </c>
    </row>
    <row r="169" spans="1:14" ht="11.25" customHeight="1" x14ac:dyDescent="0.15">
      <c r="A169" t="s">
        <v>3627</v>
      </c>
      <c r="B169" t="s">
        <v>1</v>
      </c>
      <c r="C169" t="s">
        <v>3999</v>
      </c>
      <c r="D169" t="s">
        <v>4000</v>
      </c>
      <c r="E169" t="s">
        <v>4001</v>
      </c>
      <c r="F169" t="s">
        <v>3844</v>
      </c>
      <c r="G169" t="s">
        <v>4</v>
      </c>
      <c r="H169" t="s">
        <v>4</v>
      </c>
      <c r="I169" t="s">
        <v>3767</v>
      </c>
      <c r="J169" t="s">
        <v>4</v>
      </c>
      <c r="K169" t="s">
        <v>3954</v>
      </c>
      <c r="L169" t="s">
        <v>3997</v>
      </c>
      <c r="M169" t="s">
        <v>3998</v>
      </c>
      <c r="N169" t="s">
        <v>694</v>
      </c>
    </row>
    <row r="170" spans="1:14" ht="11.25" customHeight="1" x14ac:dyDescent="0.15">
      <c r="A170" t="s">
        <v>3627</v>
      </c>
      <c r="B170" t="s">
        <v>1</v>
      </c>
      <c r="C170" t="s">
        <v>3999</v>
      </c>
      <c r="D170" t="s">
        <v>4000</v>
      </c>
      <c r="E170" t="s">
        <v>4001</v>
      </c>
      <c r="F170" t="s">
        <v>3844</v>
      </c>
      <c r="G170" t="s">
        <v>4</v>
      </c>
      <c r="H170" t="s">
        <v>4</v>
      </c>
      <c r="I170" t="s">
        <v>3639</v>
      </c>
      <c r="J170" t="s">
        <v>4</v>
      </c>
      <c r="K170" t="s">
        <v>3951</v>
      </c>
      <c r="L170" t="s">
        <v>3983</v>
      </c>
      <c r="M170" t="s">
        <v>4007</v>
      </c>
      <c r="N170" t="s">
        <v>694</v>
      </c>
    </row>
    <row r="171" spans="1:14" ht="11.25" customHeight="1" x14ac:dyDescent="0.15">
      <c r="A171" t="s">
        <v>3627</v>
      </c>
      <c r="B171" t="s">
        <v>1</v>
      </c>
      <c r="C171" t="s">
        <v>3999</v>
      </c>
      <c r="D171" t="s">
        <v>4000</v>
      </c>
      <c r="E171" t="s">
        <v>4001</v>
      </c>
      <c r="F171" t="s">
        <v>3844</v>
      </c>
      <c r="G171" t="s">
        <v>4</v>
      </c>
      <c r="H171" t="s">
        <v>4</v>
      </c>
      <c r="I171" t="s">
        <v>3639</v>
      </c>
      <c r="J171" t="s">
        <v>4</v>
      </c>
      <c r="K171" t="s">
        <v>3954</v>
      </c>
      <c r="L171" t="s">
        <v>3983</v>
      </c>
      <c r="M171" t="s">
        <v>4007</v>
      </c>
      <c r="N171" t="s">
        <v>694</v>
      </c>
    </row>
    <row r="172" spans="1:14" ht="11.25" customHeight="1" x14ac:dyDescent="0.15">
      <c r="A172" t="s">
        <v>3627</v>
      </c>
      <c r="B172" t="s">
        <v>1</v>
      </c>
      <c r="C172" t="s">
        <v>3999</v>
      </c>
      <c r="D172" t="s">
        <v>4000</v>
      </c>
      <c r="E172" t="s">
        <v>4001</v>
      </c>
      <c r="F172" t="s">
        <v>3844</v>
      </c>
      <c r="G172" t="s">
        <v>4</v>
      </c>
      <c r="H172" t="s">
        <v>4</v>
      </c>
      <c r="I172" t="s">
        <v>4008</v>
      </c>
      <c r="J172" t="s">
        <v>4</v>
      </c>
      <c r="K172" t="s">
        <v>3951</v>
      </c>
      <c r="L172" t="s">
        <v>3983</v>
      </c>
      <c r="M172" t="s">
        <v>4007</v>
      </c>
      <c r="N172" t="s">
        <v>694</v>
      </c>
    </row>
    <row r="173" spans="1:14" ht="11.25" customHeight="1" x14ac:dyDescent="0.15">
      <c r="A173" t="s">
        <v>3627</v>
      </c>
      <c r="B173" t="s">
        <v>1</v>
      </c>
      <c r="C173" t="s">
        <v>3999</v>
      </c>
      <c r="D173" t="s">
        <v>4000</v>
      </c>
      <c r="E173" t="s">
        <v>4001</v>
      </c>
      <c r="F173" t="s">
        <v>3844</v>
      </c>
      <c r="G173" t="s">
        <v>4</v>
      </c>
      <c r="H173" t="s">
        <v>4</v>
      </c>
      <c r="I173" t="s">
        <v>4008</v>
      </c>
      <c r="J173" t="s">
        <v>4</v>
      </c>
      <c r="K173" t="s">
        <v>3954</v>
      </c>
      <c r="L173" t="s">
        <v>3983</v>
      </c>
      <c r="M173" t="s">
        <v>4007</v>
      </c>
      <c r="N173" t="s">
        <v>694</v>
      </c>
    </row>
    <row r="174" spans="1:14" ht="11.25" customHeight="1" x14ac:dyDescent="0.15">
      <c r="A174" t="s">
        <v>3627</v>
      </c>
      <c r="B174" t="s">
        <v>1</v>
      </c>
      <c r="C174" t="s">
        <v>4009</v>
      </c>
      <c r="D174" t="s">
        <v>4010</v>
      </c>
      <c r="E174" t="s">
        <v>4011</v>
      </c>
      <c r="F174" t="s">
        <v>3682</v>
      </c>
      <c r="G174" t="s">
        <v>4</v>
      </c>
      <c r="H174" t="s">
        <v>4</v>
      </c>
      <c r="I174" t="s">
        <v>4012</v>
      </c>
      <c r="J174" t="s">
        <v>4</v>
      </c>
      <c r="K174" t="s">
        <v>3951</v>
      </c>
      <c r="L174" t="s">
        <v>4013</v>
      </c>
      <c r="M174" t="s">
        <v>4014</v>
      </c>
      <c r="N174" t="s">
        <v>694</v>
      </c>
    </row>
    <row r="175" spans="1:14" ht="11.25" customHeight="1" x14ac:dyDescent="0.15">
      <c r="A175" t="s">
        <v>3627</v>
      </c>
      <c r="B175" t="s">
        <v>1</v>
      </c>
      <c r="C175" t="s">
        <v>4015</v>
      </c>
      <c r="D175" t="s">
        <v>4016</v>
      </c>
      <c r="E175" t="s">
        <v>4017</v>
      </c>
      <c r="F175" t="s">
        <v>4018</v>
      </c>
      <c r="G175" t="s">
        <v>4</v>
      </c>
      <c r="H175" t="s">
        <v>4</v>
      </c>
      <c r="I175" t="s">
        <v>3639</v>
      </c>
      <c r="J175" t="s">
        <v>4</v>
      </c>
      <c r="K175" t="s">
        <v>3951</v>
      </c>
      <c r="L175" t="s">
        <v>4019</v>
      </c>
      <c r="M175" t="s">
        <v>4020</v>
      </c>
      <c r="N175" t="s">
        <v>694</v>
      </c>
    </row>
    <row r="176" spans="1:14" ht="11.25" customHeight="1" x14ac:dyDescent="0.15">
      <c r="A176" t="s">
        <v>3627</v>
      </c>
      <c r="B176" t="s">
        <v>1</v>
      </c>
      <c r="C176" t="s">
        <v>4021</v>
      </c>
      <c r="D176" t="s">
        <v>4022</v>
      </c>
      <c r="E176" t="s">
        <v>4023</v>
      </c>
      <c r="F176" t="s">
        <v>4024</v>
      </c>
      <c r="G176" t="s">
        <v>4</v>
      </c>
      <c r="H176" t="s">
        <v>4</v>
      </c>
      <c r="I176" t="s">
        <v>4025</v>
      </c>
      <c r="J176" t="s">
        <v>4</v>
      </c>
      <c r="K176" t="s">
        <v>3951</v>
      </c>
      <c r="L176" t="s">
        <v>4026</v>
      </c>
      <c r="M176" t="s">
        <v>4027</v>
      </c>
      <c r="N176" t="s">
        <v>694</v>
      </c>
    </row>
    <row r="177" spans="1:14" ht="11.25" customHeight="1" x14ac:dyDescent="0.15">
      <c r="A177" t="s">
        <v>3627</v>
      </c>
      <c r="B177" t="s">
        <v>1</v>
      </c>
      <c r="C177" t="s">
        <v>4021</v>
      </c>
      <c r="D177" t="s">
        <v>4022</v>
      </c>
      <c r="E177" t="s">
        <v>4023</v>
      </c>
      <c r="F177" t="s">
        <v>4024</v>
      </c>
      <c r="G177" t="s">
        <v>4</v>
      </c>
      <c r="H177" t="s">
        <v>4</v>
      </c>
      <c r="I177" t="s">
        <v>4025</v>
      </c>
      <c r="J177" t="s">
        <v>4</v>
      </c>
      <c r="K177" t="s">
        <v>3954</v>
      </c>
      <c r="L177" t="s">
        <v>4026</v>
      </c>
      <c r="M177" t="s">
        <v>4027</v>
      </c>
      <c r="N177" t="s">
        <v>694</v>
      </c>
    </row>
    <row r="178" spans="1:14" ht="11.25" customHeight="1" x14ac:dyDescent="0.15">
      <c r="A178" t="s">
        <v>3627</v>
      </c>
      <c r="B178" t="s">
        <v>1</v>
      </c>
      <c r="C178" t="s">
        <v>4028</v>
      </c>
      <c r="D178" t="s">
        <v>4029</v>
      </c>
      <c r="E178" t="s">
        <v>4030</v>
      </c>
      <c r="F178" t="s">
        <v>3674</v>
      </c>
      <c r="G178" t="s">
        <v>4</v>
      </c>
      <c r="H178" t="s">
        <v>4</v>
      </c>
      <c r="I178" t="s">
        <v>3684</v>
      </c>
      <c r="J178" t="s">
        <v>4</v>
      </c>
      <c r="K178" t="s">
        <v>3951</v>
      </c>
      <c r="L178" t="s">
        <v>3988</v>
      </c>
      <c r="M178" t="s">
        <v>3989</v>
      </c>
      <c r="N178" t="s">
        <v>694</v>
      </c>
    </row>
    <row r="179" spans="1:14" ht="11.25" customHeight="1" x14ac:dyDescent="0.15">
      <c r="A179" t="s">
        <v>3627</v>
      </c>
      <c r="B179" t="s">
        <v>1</v>
      </c>
      <c r="C179" t="s">
        <v>4031</v>
      </c>
      <c r="D179" t="s">
        <v>4032</v>
      </c>
      <c r="E179" t="s">
        <v>4033</v>
      </c>
      <c r="F179" t="s">
        <v>4034</v>
      </c>
      <c r="G179" t="s">
        <v>4</v>
      </c>
      <c r="H179" t="s">
        <v>4</v>
      </c>
      <c r="I179" t="s">
        <v>3639</v>
      </c>
      <c r="J179" t="s">
        <v>4</v>
      </c>
      <c r="K179" t="s">
        <v>3951</v>
      </c>
      <c r="L179" t="s">
        <v>3988</v>
      </c>
      <c r="M179" t="s">
        <v>4035</v>
      </c>
      <c r="N179" t="s">
        <v>694</v>
      </c>
    </row>
    <row r="180" spans="1:14" ht="11.25" customHeight="1" x14ac:dyDescent="0.15">
      <c r="A180" t="s">
        <v>3627</v>
      </c>
      <c r="B180" t="s">
        <v>1</v>
      </c>
      <c r="C180" t="s">
        <v>4031</v>
      </c>
      <c r="D180" t="s">
        <v>4032</v>
      </c>
      <c r="E180" t="s">
        <v>4033</v>
      </c>
      <c r="F180" t="s">
        <v>4034</v>
      </c>
      <c r="G180" t="s">
        <v>4</v>
      </c>
      <c r="H180" t="s">
        <v>4</v>
      </c>
      <c r="I180" t="s">
        <v>3639</v>
      </c>
      <c r="J180" t="s">
        <v>4</v>
      </c>
      <c r="K180" t="s">
        <v>3954</v>
      </c>
      <c r="L180" t="s">
        <v>3988</v>
      </c>
      <c r="M180" t="s">
        <v>4035</v>
      </c>
      <c r="N180" t="s">
        <v>694</v>
      </c>
    </row>
    <row r="181" spans="1:14" ht="11.25" customHeight="1" x14ac:dyDescent="0.15">
      <c r="A181" t="s">
        <v>3627</v>
      </c>
      <c r="B181" t="s">
        <v>1</v>
      </c>
      <c r="C181" t="s">
        <v>4036</v>
      </c>
      <c r="D181" t="s">
        <v>4037</v>
      </c>
      <c r="E181" t="s">
        <v>4038</v>
      </c>
      <c r="F181" t="s">
        <v>4039</v>
      </c>
      <c r="G181" t="s">
        <v>4</v>
      </c>
      <c r="H181" t="s">
        <v>4</v>
      </c>
      <c r="I181" t="s">
        <v>3716</v>
      </c>
      <c r="J181" t="s">
        <v>4</v>
      </c>
      <c r="K181" t="s">
        <v>3951</v>
      </c>
      <c r="L181" t="s">
        <v>3983</v>
      </c>
      <c r="M181" t="s">
        <v>4007</v>
      </c>
      <c r="N181" t="s">
        <v>694</v>
      </c>
    </row>
    <row r="182" spans="1:14" ht="11.25" customHeight="1" x14ac:dyDescent="0.15">
      <c r="A182" t="s">
        <v>3627</v>
      </c>
      <c r="B182" t="s">
        <v>1</v>
      </c>
      <c r="C182" t="s">
        <v>4036</v>
      </c>
      <c r="D182" t="s">
        <v>4037</v>
      </c>
      <c r="E182" t="s">
        <v>4038</v>
      </c>
      <c r="F182" t="s">
        <v>4039</v>
      </c>
      <c r="G182" t="s">
        <v>4</v>
      </c>
      <c r="H182" t="s">
        <v>4</v>
      </c>
      <c r="I182" t="s">
        <v>3716</v>
      </c>
      <c r="J182" t="s">
        <v>4</v>
      </c>
      <c r="K182" t="s">
        <v>3954</v>
      </c>
      <c r="L182" t="s">
        <v>3983</v>
      </c>
      <c r="M182" t="s">
        <v>4007</v>
      </c>
      <c r="N182" t="s">
        <v>694</v>
      </c>
    </row>
    <row r="183" spans="1:14" ht="11.25" customHeight="1" x14ac:dyDescent="0.15">
      <c r="A183" t="s">
        <v>3627</v>
      </c>
      <c r="B183" t="s">
        <v>1</v>
      </c>
      <c r="C183" t="s">
        <v>4040</v>
      </c>
      <c r="D183" t="s">
        <v>4041</v>
      </c>
      <c r="E183" t="s">
        <v>4042</v>
      </c>
      <c r="F183" t="s">
        <v>4043</v>
      </c>
      <c r="G183" t="s">
        <v>4</v>
      </c>
      <c r="H183" t="s">
        <v>4</v>
      </c>
      <c r="I183" t="s">
        <v>3716</v>
      </c>
      <c r="J183" t="s">
        <v>4</v>
      </c>
      <c r="K183" t="s">
        <v>3951</v>
      </c>
      <c r="L183" t="s">
        <v>3983</v>
      </c>
      <c r="M183" t="s">
        <v>3984</v>
      </c>
      <c r="N183" t="s">
        <v>694</v>
      </c>
    </row>
    <row r="184" spans="1:14" ht="11.25" customHeight="1" x14ac:dyDescent="0.15">
      <c r="A184" t="s">
        <v>3627</v>
      </c>
      <c r="B184" t="s">
        <v>1</v>
      </c>
      <c r="C184" t="s">
        <v>4044</v>
      </c>
      <c r="D184" t="s">
        <v>4045</v>
      </c>
      <c r="E184" t="s">
        <v>4046</v>
      </c>
      <c r="F184" t="s">
        <v>3682</v>
      </c>
      <c r="G184" t="s">
        <v>4047</v>
      </c>
      <c r="H184" t="s">
        <v>4</v>
      </c>
      <c r="I184" t="s">
        <v>4047</v>
      </c>
      <c r="J184" t="s">
        <v>4</v>
      </c>
      <c r="K184" t="s">
        <v>3951</v>
      </c>
      <c r="L184" t="s">
        <v>3983</v>
      </c>
      <c r="M184" t="s">
        <v>3984</v>
      </c>
      <c r="N184" t="s">
        <v>694</v>
      </c>
    </row>
    <row r="185" spans="1:14" ht="11.25" customHeight="1" x14ac:dyDescent="0.15">
      <c r="A185" t="s">
        <v>3627</v>
      </c>
      <c r="B185" t="s">
        <v>1</v>
      </c>
      <c r="C185" t="s">
        <v>4044</v>
      </c>
      <c r="D185" t="s">
        <v>4045</v>
      </c>
      <c r="E185" t="s">
        <v>4046</v>
      </c>
      <c r="F185" t="s">
        <v>3682</v>
      </c>
      <c r="G185" t="s">
        <v>4047</v>
      </c>
      <c r="H185" t="s">
        <v>4</v>
      </c>
      <c r="I185" t="s">
        <v>4048</v>
      </c>
      <c r="J185" t="s">
        <v>4</v>
      </c>
      <c r="K185" t="s">
        <v>3951</v>
      </c>
      <c r="L185" t="s">
        <v>4013</v>
      </c>
      <c r="M185" t="s">
        <v>4014</v>
      </c>
      <c r="N185" t="s">
        <v>694</v>
      </c>
    </row>
    <row r="186" spans="1:14" ht="11.25" customHeight="1" x14ac:dyDescent="0.15">
      <c r="A186" t="s">
        <v>3627</v>
      </c>
      <c r="B186" t="s">
        <v>1</v>
      </c>
      <c r="C186" t="s">
        <v>4049</v>
      </c>
      <c r="D186" t="s">
        <v>4050</v>
      </c>
      <c r="E186" t="s">
        <v>4051</v>
      </c>
      <c r="F186" t="s">
        <v>4052</v>
      </c>
      <c r="G186" t="s">
        <v>4</v>
      </c>
      <c r="H186" t="s">
        <v>4</v>
      </c>
      <c r="I186" t="s">
        <v>3767</v>
      </c>
      <c r="J186" t="s">
        <v>4</v>
      </c>
      <c r="K186" t="s">
        <v>3951</v>
      </c>
      <c r="L186" t="s">
        <v>4053</v>
      </c>
      <c r="M186" t="s">
        <v>4054</v>
      </c>
      <c r="N186" t="s">
        <v>694</v>
      </c>
    </row>
    <row r="187" spans="1:14" ht="11.25" customHeight="1" x14ac:dyDescent="0.15">
      <c r="A187" t="s">
        <v>3627</v>
      </c>
      <c r="B187" t="s">
        <v>1</v>
      </c>
      <c r="C187" t="s">
        <v>3763</v>
      </c>
      <c r="D187" t="s">
        <v>3764</v>
      </c>
      <c r="E187" t="s">
        <v>3765</v>
      </c>
      <c r="F187" t="s">
        <v>3766</v>
      </c>
      <c r="G187" t="s">
        <v>4</v>
      </c>
      <c r="H187" t="s">
        <v>4</v>
      </c>
      <c r="I187" t="s">
        <v>3767</v>
      </c>
      <c r="J187" t="s">
        <v>4</v>
      </c>
      <c r="K187" t="s">
        <v>3951</v>
      </c>
      <c r="L187" t="s">
        <v>3994</v>
      </c>
      <c r="M187" t="s">
        <v>3995</v>
      </c>
      <c r="N187" t="s">
        <v>694</v>
      </c>
    </row>
    <row r="188" spans="1:14" ht="11.25" customHeight="1" x14ac:dyDescent="0.15">
      <c r="A188" t="s">
        <v>3627</v>
      </c>
      <c r="B188" t="s">
        <v>1</v>
      </c>
      <c r="C188" t="s">
        <v>3770</v>
      </c>
      <c r="D188" t="s">
        <v>3771</v>
      </c>
      <c r="E188" t="s">
        <v>3772</v>
      </c>
      <c r="F188" t="s">
        <v>3766</v>
      </c>
      <c r="G188" t="s">
        <v>4</v>
      </c>
      <c r="H188" t="s">
        <v>4</v>
      </c>
      <c r="I188" t="s">
        <v>3767</v>
      </c>
      <c r="J188" t="s">
        <v>4</v>
      </c>
      <c r="K188" t="s">
        <v>3951</v>
      </c>
      <c r="L188" t="s">
        <v>3952</v>
      </c>
      <c r="M188" t="s">
        <v>3953</v>
      </c>
      <c r="N188" t="s">
        <v>694</v>
      </c>
    </row>
    <row r="189" spans="1:14" ht="11.25" customHeight="1" x14ac:dyDescent="0.15">
      <c r="A189" t="s">
        <v>3627</v>
      </c>
      <c r="B189" t="s">
        <v>1</v>
      </c>
      <c r="C189" t="s">
        <v>3770</v>
      </c>
      <c r="D189" t="s">
        <v>3771</v>
      </c>
      <c r="E189" t="s">
        <v>3772</v>
      </c>
      <c r="F189" t="s">
        <v>3766</v>
      </c>
      <c r="G189" t="s">
        <v>4</v>
      </c>
      <c r="H189" t="s">
        <v>4</v>
      </c>
      <c r="I189" t="s">
        <v>3767</v>
      </c>
      <c r="J189" t="s">
        <v>4</v>
      </c>
      <c r="K189" t="s">
        <v>3954</v>
      </c>
      <c r="L189" t="s">
        <v>3952</v>
      </c>
      <c r="M189" t="s">
        <v>3953</v>
      </c>
      <c r="N189" t="s">
        <v>694</v>
      </c>
    </row>
    <row r="190" spans="1:14" ht="11.25" customHeight="1" x14ac:dyDescent="0.15">
      <c r="A190" t="s">
        <v>3627</v>
      </c>
      <c r="B190" t="s">
        <v>1</v>
      </c>
      <c r="C190" t="s">
        <v>4055</v>
      </c>
      <c r="D190" t="s">
        <v>4056</v>
      </c>
      <c r="E190" t="s">
        <v>4057</v>
      </c>
      <c r="F190" t="s">
        <v>3993</v>
      </c>
      <c r="G190" t="s">
        <v>4</v>
      </c>
      <c r="H190" t="s">
        <v>4</v>
      </c>
      <c r="I190" t="s">
        <v>3767</v>
      </c>
      <c r="J190" t="s">
        <v>4</v>
      </c>
      <c r="K190" t="s">
        <v>3951</v>
      </c>
      <c r="L190" t="s">
        <v>3994</v>
      </c>
      <c r="M190" t="s">
        <v>3995</v>
      </c>
      <c r="N190" t="s">
        <v>694</v>
      </c>
    </row>
    <row r="191" spans="1:14" ht="11.25" customHeight="1" x14ac:dyDescent="0.15">
      <c r="A191" t="s">
        <v>3627</v>
      </c>
      <c r="B191" t="s">
        <v>1</v>
      </c>
      <c r="C191" t="s">
        <v>4058</v>
      </c>
      <c r="D191" t="s">
        <v>4059</v>
      </c>
      <c r="E191" t="s">
        <v>4060</v>
      </c>
      <c r="F191" t="s">
        <v>3721</v>
      </c>
      <c r="G191" t="s">
        <v>4061</v>
      </c>
      <c r="H191" t="s">
        <v>4</v>
      </c>
      <c r="I191" t="s">
        <v>3647</v>
      </c>
      <c r="J191" t="s">
        <v>4</v>
      </c>
      <c r="K191" t="s">
        <v>3951</v>
      </c>
      <c r="L191" t="s">
        <v>4026</v>
      </c>
      <c r="M191" t="s">
        <v>4027</v>
      </c>
      <c r="N191" t="s">
        <v>694</v>
      </c>
    </row>
    <row r="192" spans="1:14" ht="11.25" customHeight="1" x14ac:dyDescent="0.15">
      <c r="A192" t="s">
        <v>3627</v>
      </c>
      <c r="B192" t="s">
        <v>1</v>
      </c>
      <c r="C192" t="s">
        <v>4058</v>
      </c>
      <c r="D192" t="s">
        <v>4059</v>
      </c>
      <c r="E192" t="s">
        <v>4060</v>
      </c>
      <c r="F192" t="s">
        <v>3721</v>
      </c>
      <c r="G192" t="s">
        <v>4061</v>
      </c>
      <c r="H192" t="s">
        <v>4</v>
      </c>
      <c r="I192" t="s">
        <v>3647</v>
      </c>
      <c r="J192" t="s">
        <v>4</v>
      </c>
      <c r="K192" t="s">
        <v>3954</v>
      </c>
      <c r="L192" t="s">
        <v>4026</v>
      </c>
      <c r="M192" t="s">
        <v>4027</v>
      </c>
      <c r="N192" t="s">
        <v>694</v>
      </c>
    </row>
    <row r="193" spans="1:14" ht="11.25" customHeight="1" x14ac:dyDescent="0.15">
      <c r="A193" t="s">
        <v>3627</v>
      </c>
      <c r="B193" t="s">
        <v>1</v>
      </c>
      <c r="C193" t="s">
        <v>4062</v>
      </c>
      <c r="D193" t="s">
        <v>4063</v>
      </c>
      <c r="E193" t="s">
        <v>4064</v>
      </c>
      <c r="F193" t="s">
        <v>3734</v>
      </c>
      <c r="G193" t="s">
        <v>4065</v>
      </c>
      <c r="H193" t="s">
        <v>4</v>
      </c>
      <c r="I193" t="s">
        <v>3846</v>
      </c>
      <c r="J193" t="s">
        <v>4</v>
      </c>
      <c r="K193" t="s">
        <v>3951</v>
      </c>
      <c r="L193" t="s">
        <v>3983</v>
      </c>
      <c r="M193" t="s">
        <v>3984</v>
      </c>
      <c r="N193" t="s">
        <v>694</v>
      </c>
    </row>
    <row r="194" spans="1:14" ht="11.25" customHeight="1" x14ac:dyDescent="0.15">
      <c r="A194" t="s">
        <v>3627</v>
      </c>
      <c r="B194" t="s">
        <v>1</v>
      </c>
      <c r="C194" t="s">
        <v>4066</v>
      </c>
      <c r="D194" t="s">
        <v>4067</v>
      </c>
      <c r="E194" t="s">
        <v>4068</v>
      </c>
      <c r="F194" t="s">
        <v>3682</v>
      </c>
      <c r="G194" t="s">
        <v>4</v>
      </c>
      <c r="H194" t="s">
        <v>4</v>
      </c>
      <c r="I194" t="s">
        <v>4069</v>
      </c>
      <c r="J194" t="s">
        <v>4</v>
      </c>
      <c r="K194" t="s">
        <v>3951</v>
      </c>
      <c r="L194" t="s">
        <v>3994</v>
      </c>
      <c r="M194" t="s">
        <v>3995</v>
      </c>
      <c r="N194" t="s">
        <v>694</v>
      </c>
    </row>
    <row r="195" spans="1:14" ht="11.25" customHeight="1" x14ac:dyDescent="0.15">
      <c r="A195" t="s">
        <v>3627</v>
      </c>
      <c r="B195" t="s">
        <v>1</v>
      </c>
      <c r="C195" t="s">
        <v>4070</v>
      </c>
      <c r="D195" t="s">
        <v>4071</v>
      </c>
      <c r="E195" t="s">
        <v>4072</v>
      </c>
      <c r="F195" t="s">
        <v>4039</v>
      </c>
      <c r="G195" t="s">
        <v>4</v>
      </c>
      <c r="H195" t="s">
        <v>4</v>
      </c>
      <c r="I195" t="s">
        <v>3716</v>
      </c>
      <c r="J195" t="s">
        <v>4</v>
      </c>
      <c r="K195" t="s">
        <v>3951</v>
      </c>
      <c r="L195" t="s">
        <v>4073</v>
      </c>
      <c r="M195" t="s">
        <v>4074</v>
      </c>
      <c r="N195" t="s">
        <v>694</v>
      </c>
    </row>
    <row r="196" spans="1:14" ht="11.25" customHeight="1" x14ac:dyDescent="0.15">
      <c r="A196" t="s">
        <v>3627</v>
      </c>
      <c r="B196" t="s">
        <v>1</v>
      </c>
      <c r="C196" t="s">
        <v>4070</v>
      </c>
      <c r="D196" t="s">
        <v>4071</v>
      </c>
      <c r="E196" t="s">
        <v>4072</v>
      </c>
      <c r="F196" t="s">
        <v>4039</v>
      </c>
      <c r="G196" t="s">
        <v>4</v>
      </c>
      <c r="H196" t="s">
        <v>4</v>
      </c>
      <c r="I196" t="s">
        <v>3716</v>
      </c>
      <c r="J196" t="s">
        <v>4</v>
      </c>
      <c r="K196" t="s">
        <v>3954</v>
      </c>
      <c r="L196" t="s">
        <v>4073</v>
      </c>
      <c r="M196" t="s">
        <v>4074</v>
      </c>
      <c r="N196" t="s">
        <v>694</v>
      </c>
    </row>
    <row r="197" spans="1:14" ht="11.25" customHeight="1" x14ac:dyDescent="0.15">
      <c r="A197" t="s">
        <v>3627</v>
      </c>
      <c r="B197" t="s">
        <v>1</v>
      </c>
      <c r="C197" t="s">
        <v>4075</v>
      </c>
      <c r="D197" t="s">
        <v>4076</v>
      </c>
      <c r="E197" t="s">
        <v>4077</v>
      </c>
      <c r="F197" t="s">
        <v>4078</v>
      </c>
      <c r="G197" t="s">
        <v>4</v>
      </c>
      <c r="H197" t="s">
        <v>4</v>
      </c>
      <c r="I197" t="s">
        <v>4079</v>
      </c>
      <c r="J197" t="s">
        <v>4</v>
      </c>
      <c r="K197" t="s">
        <v>3951</v>
      </c>
      <c r="L197" t="s">
        <v>4080</v>
      </c>
      <c r="M197" t="s">
        <v>4081</v>
      </c>
      <c r="N197" t="s">
        <v>694</v>
      </c>
    </row>
    <row r="198" spans="1:14" ht="11.25" customHeight="1" x14ac:dyDescent="0.15">
      <c r="A198" t="s">
        <v>3627</v>
      </c>
      <c r="B198" t="s">
        <v>1</v>
      </c>
      <c r="C198" t="s">
        <v>4082</v>
      </c>
      <c r="D198" t="s">
        <v>4083</v>
      </c>
      <c r="E198" t="s">
        <v>4084</v>
      </c>
      <c r="F198" t="s">
        <v>3631</v>
      </c>
      <c r="G198" t="s">
        <v>4</v>
      </c>
      <c r="H198" t="s">
        <v>4</v>
      </c>
      <c r="I198" t="s">
        <v>3632</v>
      </c>
      <c r="J198" t="s">
        <v>4</v>
      </c>
      <c r="K198" t="s">
        <v>3951</v>
      </c>
      <c r="L198" t="s">
        <v>3994</v>
      </c>
      <c r="M198" t="s">
        <v>3995</v>
      </c>
      <c r="N198" t="s">
        <v>694</v>
      </c>
    </row>
    <row r="199" spans="1:14" ht="11.25" customHeight="1" x14ac:dyDescent="0.15">
      <c r="A199" t="s">
        <v>3627</v>
      </c>
      <c r="B199" t="s">
        <v>1</v>
      </c>
      <c r="C199" t="s">
        <v>4085</v>
      </c>
      <c r="D199" t="s">
        <v>4086</v>
      </c>
      <c r="E199" t="s">
        <v>4087</v>
      </c>
      <c r="F199" t="s">
        <v>3862</v>
      </c>
      <c r="G199" t="s">
        <v>4</v>
      </c>
      <c r="H199" t="s">
        <v>4</v>
      </c>
      <c r="I199" t="s">
        <v>3647</v>
      </c>
      <c r="J199" t="s">
        <v>4</v>
      </c>
      <c r="K199" t="s">
        <v>3951</v>
      </c>
      <c r="L199" t="s">
        <v>3983</v>
      </c>
      <c r="M199" t="s">
        <v>3984</v>
      </c>
      <c r="N199" t="s">
        <v>694</v>
      </c>
    </row>
    <row r="200" spans="1:14" ht="11.25" customHeight="1" x14ac:dyDescent="0.15">
      <c r="A200" t="s">
        <v>3627</v>
      </c>
      <c r="B200" t="s">
        <v>1</v>
      </c>
      <c r="C200" t="s">
        <v>3783</v>
      </c>
      <c r="D200" t="s">
        <v>3784</v>
      </c>
      <c r="E200" t="s">
        <v>3785</v>
      </c>
      <c r="F200" t="s">
        <v>3786</v>
      </c>
      <c r="G200" t="s">
        <v>4</v>
      </c>
      <c r="H200" t="s">
        <v>4</v>
      </c>
      <c r="I200" t="s">
        <v>3632</v>
      </c>
      <c r="J200" t="s">
        <v>4</v>
      </c>
      <c r="K200" t="s">
        <v>3951</v>
      </c>
      <c r="L200" t="s">
        <v>3952</v>
      </c>
      <c r="M200" t="s">
        <v>3953</v>
      </c>
      <c r="N200" t="s">
        <v>694</v>
      </c>
    </row>
    <row r="201" spans="1:14" ht="11.25" customHeight="1" x14ac:dyDescent="0.15">
      <c r="A201" t="s">
        <v>3627</v>
      </c>
      <c r="B201" t="s">
        <v>1</v>
      </c>
      <c r="C201" t="s">
        <v>3783</v>
      </c>
      <c r="D201" t="s">
        <v>3784</v>
      </c>
      <c r="E201" t="s">
        <v>3785</v>
      </c>
      <c r="F201" t="s">
        <v>3786</v>
      </c>
      <c r="G201" t="s">
        <v>4</v>
      </c>
      <c r="H201" t="s">
        <v>4</v>
      </c>
      <c r="I201" t="s">
        <v>3632</v>
      </c>
      <c r="J201" t="s">
        <v>4</v>
      </c>
      <c r="K201" t="s">
        <v>3954</v>
      </c>
      <c r="L201" t="s">
        <v>3952</v>
      </c>
      <c r="M201" t="s">
        <v>3953</v>
      </c>
      <c r="N201" t="s">
        <v>694</v>
      </c>
    </row>
    <row r="202" spans="1:14" ht="11.25" customHeight="1" x14ac:dyDescent="0.15">
      <c r="A202" t="s">
        <v>3627</v>
      </c>
      <c r="B202" t="s">
        <v>1</v>
      </c>
      <c r="C202" t="s">
        <v>4088</v>
      </c>
      <c r="D202" t="s">
        <v>4089</v>
      </c>
      <c r="E202" t="s">
        <v>4090</v>
      </c>
      <c r="F202" t="s">
        <v>3631</v>
      </c>
      <c r="G202" t="s">
        <v>4</v>
      </c>
      <c r="H202" t="s">
        <v>4</v>
      </c>
      <c r="I202" t="s">
        <v>4091</v>
      </c>
      <c r="J202" t="s">
        <v>4</v>
      </c>
      <c r="K202" t="s">
        <v>3951</v>
      </c>
      <c r="L202" t="s">
        <v>4026</v>
      </c>
      <c r="M202" t="s">
        <v>4027</v>
      </c>
      <c r="N202" t="s">
        <v>694</v>
      </c>
    </row>
    <row r="203" spans="1:14" ht="11.25" customHeight="1" x14ac:dyDescent="0.15">
      <c r="A203" t="s">
        <v>3627</v>
      </c>
      <c r="B203" t="s">
        <v>1</v>
      </c>
      <c r="C203" t="s">
        <v>4088</v>
      </c>
      <c r="D203" t="s">
        <v>4089</v>
      </c>
      <c r="E203" t="s">
        <v>4090</v>
      </c>
      <c r="F203" t="s">
        <v>3631</v>
      </c>
      <c r="G203" t="s">
        <v>4</v>
      </c>
      <c r="H203" t="s">
        <v>4</v>
      </c>
      <c r="I203" t="s">
        <v>4091</v>
      </c>
      <c r="J203" t="s">
        <v>4</v>
      </c>
      <c r="K203" t="s">
        <v>3954</v>
      </c>
      <c r="L203" t="s">
        <v>4026</v>
      </c>
      <c r="M203" t="s">
        <v>4027</v>
      </c>
      <c r="N203" t="s">
        <v>694</v>
      </c>
    </row>
    <row r="204" spans="1:14" ht="11.25" customHeight="1" x14ac:dyDescent="0.15">
      <c r="A204" t="s">
        <v>3627</v>
      </c>
      <c r="B204" t="s">
        <v>1</v>
      </c>
      <c r="C204" t="s">
        <v>3790</v>
      </c>
      <c r="D204" t="s">
        <v>3791</v>
      </c>
      <c r="E204" t="s">
        <v>3792</v>
      </c>
      <c r="F204" t="s">
        <v>3766</v>
      </c>
      <c r="G204" t="s">
        <v>4</v>
      </c>
      <c r="H204" t="s">
        <v>4</v>
      </c>
      <c r="I204" t="s">
        <v>3767</v>
      </c>
      <c r="J204" t="s">
        <v>4</v>
      </c>
      <c r="K204" t="s">
        <v>3951</v>
      </c>
      <c r="L204" t="s">
        <v>3997</v>
      </c>
      <c r="M204" t="s">
        <v>3998</v>
      </c>
      <c r="N204" t="s">
        <v>694</v>
      </c>
    </row>
    <row r="205" spans="1:14" ht="11.25" customHeight="1" x14ac:dyDescent="0.15">
      <c r="A205" t="s">
        <v>3627</v>
      </c>
      <c r="B205" t="s">
        <v>1</v>
      </c>
      <c r="C205" t="s">
        <v>3790</v>
      </c>
      <c r="D205" t="s">
        <v>3791</v>
      </c>
      <c r="E205" t="s">
        <v>3792</v>
      </c>
      <c r="F205" t="s">
        <v>3766</v>
      </c>
      <c r="G205" t="s">
        <v>4</v>
      </c>
      <c r="H205" t="s">
        <v>4</v>
      </c>
      <c r="I205" t="s">
        <v>3767</v>
      </c>
      <c r="J205" t="s">
        <v>4</v>
      </c>
      <c r="K205" t="s">
        <v>3954</v>
      </c>
      <c r="L205" t="s">
        <v>3997</v>
      </c>
      <c r="M205" t="s">
        <v>3998</v>
      </c>
      <c r="N205" t="s">
        <v>694</v>
      </c>
    </row>
    <row r="206" spans="1:14" ht="11.25" customHeight="1" x14ac:dyDescent="0.15">
      <c r="A206" t="s">
        <v>3627</v>
      </c>
      <c r="B206" t="s">
        <v>1</v>
      </c>
      <c r="C206" t="s">
        <v>4092</v>
      </c>
      <c r="D206" t="s">
        <v>4093</v>
      </c>
      <c r="E206" t="s">
        <v>4094</v>
      </c>
      <c r="F206" t="s">
        <v>3669</v>
      </c>
      <c r="G206" t="s">
        <v>4095</v>
      </c>
      <c r="H206" t="s">
        <v>4</v>
      </c>
      <c r="I206" t="s">
        <v>4096</v>
      </c>
      <c r="J206" t="s">
        <v>4097</v>
      </c>
      <c r="K206" t="s">
        <v>3951</v>
      </c>
      <c r="L206" t="s">
        <v>4026</v>
      </c>
      <c r="M206" t="s">
        <v>4027</v>
      </c>
      <c r="N206" t="s">
        <v>694</v>
      </c>
    </row>
    <row r="207" spans="1:14" ht="11.25" customHeight="1" x14ac:dyDescent="0.15">
      <c r="A207" t="s">
        <v>3627</v>
      </c>
      <c r="B207" t="s">
        <v>1</v>
      </c>
      <c r="C207" t="s">
        <v>4092</v>
      </c>
      <c r="D207" t="s">
        <v>4093</v>
      </c>
      <c r="E207" t="s">
        <v>4094</v>
      </c>
      <c r="F207" t="s">
        <v>3669</v>
      </c>
      <c r="G207" t="s">
        <v>4095</v>
      </c>
      <c r="H207" t="s">
        <v>4</v>
      </c>
      <c r="I207" t="s">
        <v>4096</v>
      </c>
      <c r="J207" t="s">
        <v>4097</v>
      </c>
      <c r="K207" t="s">
        <v>3954</v>
      </c>
      <c r="L207" t="s">
        <v>4026</v>
      </c>
      <c r="M207" t="s">
        <v>4027</v>
      </c>
      <c r="N207" t="s">
        <v>694</v>
      </c>
    </row>
    <row r="208" spans="1:14" ht="11.25" customHeight="1" x14ac:dyDescent="0.15">
      <c r="A208" t="s">
        <v>3627</v>
      </c>
      <c r="B208" t="s">
        <v>1</v>
      </c>
      <c r="C208" t="s">
        <v>4092</v>
      </c>
      <c r="D208" t="s">
        <v>4093</v>
      </c>
      <c r="E208" t="s">
        <v>4094</v>
      </c>
      <c r="F208" t="s">
        <v>3669</v>
      </c>
      <c r="G208" t="s">
        <v>4095</v>
      </c>
      <c r="H208" t="s">
        <v>4</v>
      </c>
      <c r="I208" t="s">
        <v>4098</v>
      </c>
      <c r="J208" t="s">
        <v>4</v>
      </c>
      <c r="K208" t="s">
        <v>3951</v>
      </c>
      <c r="L208" t="s">
        <v>4026</v>
      </c>
      <c r="M208" t="s">
        <v>4027</v>
      </c>
      <c r="N208" t="s">
        <v>694</v>
      </c>
    </row>
    <row r="209" spans="1:14" ht="11.25" customHeight="1" x14ac:dyDescent="0.15">
      <c r="A209" t="s">
        <v>3627</v>
      </c>
      <c r="B209" t="s">
        <v>1</v>
      </c>
      <c r="C209" t="s">
        <v>4092</v>
      </c>
      <c r="D209" t="s">
        <v>4093</v>
      </c>
      <c r="E209" t="s">
        <v>4094</v>
      </c>
      <c r="F209" t="s">
        <v>3669</v>
      </c>
      <c r="G209" t="s">
        <v>4095</v>
      </c>
      <c r="H209" t="s">
        <v>4</v>
      </c>
      <c r="I209" t="s">
        <v>4098</v>
      </c>
      <c r="J209" t="s">
        <v>4</v>
      </c>
      <c r="K209" t="s">
        <v>3954</v>
      </c>
      <c r="L209" t="s">
        <v>4026</v>
      </c>
      <c r="M209" t="s">
        <v>4027</v>
      </c>
      <c r="N209" t="s">
        <v>694</v>
      </c>
    </row>
    <row r="210" spans="1:14" ht="11.25" customHeight="1" x14ac:dyDescent="0.15">
      <c r="A210" t="s">
        <v>3627</v>
      </c>
      <c r="B210" t="s">
        <v>1</v>
      </c>
      <c r="C210" t="s">
        <v>4099</v>
      </c>
      <c r="D210" t="s">
        <v>4100</v>
      </c>
      <c r="E210" t="s">
        <v>4101</v>
      </c>
      <c r="F210" t="s">
        <v>3758</v>
      </c>
      <c r="G210" t="s">
        <v>4102</v>
      </c>
      <c r="H210" t="s">
        <v>4</v>
      </c>
      <c r="I210" t="s">
        <v>4103</v>
      </c>
      <c r="J210" t="s">
        <v>4</v>
      </c>
      <c r="K210" t="s">
        <v>3951</v>
      </c>
      <c r="L210" t="s">
        <v>4073</v>
      </c>
      <c r="M210" t="s">
        <v>4074</v>
      </c>
      <c r="N210" t="s">
        <v>694</v>
      </c>
    </row>
    <row r="211" spans="1:14" ht="11.25" customHeight="1" x14ac:dyDescent="0.15">
      <c r="A211" t="s">
        <v>3627</v>
      </c>
      <c r="B211" t="s">
        <v>1</v>
      </c>
      <c r="C211" t="s">
        <v>4099</v>
      </c>
      <c r="D211" t="s">
        <v>4100</v>
      </c>
      <c r="E211" t="s">
        <v>4101</v>
      </c>
      <c r="F211" t="s">
        <v>3758</v>
      </c>
      <c r="G211" t="s">
        <v>4102</v>
      </c>
      <c r="H211" t="s">
        <v>4</v>
      </c>
      <c r="I211" t="s">
        <v>4103</v>
      </c>
      <c r="J211" t="s">
        <v>4</v>
      </c>
      <c r="K211" t="s">
        <v>3954</v>
      </c>
      <c r="L211" t="s">
        <v>4073</v>
      </c>
      <c r="M211" t="s">
        <v>4074</v>
      </c>
      <c r="N211" t="s">
        <v>694</v>
      </c>
    </row>
    <row r="212" spans="1:14" ht="11.25" customHeight="1" x14ac:dyDescent="0.15">
      <c r="A212" t="s">
        <v>3627</v>
      </c>
      <c r="B212" t="s">
        <v>1</v>
      </c>
      <c r="C212" t="s">
        <v>4104</v>
      </c>
      <c r="D212" t="s">
        <v>4105</v>
      </c>
      <c r="E212" t="s">
        <v>4106</v>
      </c>
      <c r="F212" t="s">
        <v>4107</v>
      </c>
      <c r="G212" t="s">
        <v>4</v>
      </c>
      <c r="H212" t="s">
        <v>4</v>
      </c>
      <c r="I212" t="s">
        <v>3639</v>
      </c>
      <c r="J212" t="s">
        <v>4</v>
      </c>
      <c r="K212" t="s">
        <v>3951</v>
      </c>
      <c r="L212" t="s">
        <v>3997</v>
      </c>
      <c r="M212" t="s">
        <v>3998</v>
      </c>
      <c r="N212" t="s">
        <v>694</v>
      </c>
    </row>
    <row r="213" spans="1:14" ht="11.25" customHeight="1" x14ac:dyDescent="0.15">
      <c r="A213" t="s">
        <v>3627</v>
      </c>
      <c r="B213" t="s">
        <v>1</v>
      </c>
      <c r="C213" t="s">
        <v>4104</v>
      </c>
      <c r="D213" t="s">
        <v>4105</v>
      </c>
      <c r="E213" t="s">
        <v>4106</v>
      </c>
      <c r="F213" t="s">
        <v>4107</v>
      </c>
      <c r="G213" t="s">
        <v>4</v>
      </c>
      <c r="H213" t="s">
        <v>4</v>
      </c>
      <c r="I213" t="s">
        <v>3639</v>
      </c>
      <c r="J213" t="s">
        <v>4</v>
      </c>
      <c r="K213" t="s">
        <v>3954</v>
      </c>
      <c r="L213" t="s">
        <v>3997</v>
      </c>
      <c r="M213" t="s">
        <v>3998</v>
      </c>
      <c r="N213" t="s">
        <v>694</v>
      </c>
    </row>
    <row r="214" spans="1:14" ht="11.25" customHeight="1" x14ac:dyDescent="0.15">
      <c r="A214" t="s">
        <v>3627</v>
      </c>
      <c r="B214" t="s">
        <v>1</v>
      </c>
      <c r="C214" t="s">
        <v>4108</v>
      </c>
      <c r="D214" t="s">
        <v>4109</v>
      </c>
      <c r="E214" t="s">
        <v>4110</v>
      </c>
      <c r="F214" t="s">
        <v>3921</v>
      </c>
      <c r="G214" t="s">
        <v>4</v>
      </c>
      <c r="H214" t="s">
        <v>4</v>
      </c>
      <c r="I214" t="s">
        <v>3716</v>
      </c>
      <c r="J214" t="s">
        <v>4</v>
      </c>
      <c r="K214" t="s">
        <v>3951</v>
      </c>
      <c r="L214" t="s">
        <v>3994</v>
      </c>
      <c r="M214" t="s">
        <v>3995</v>
      </c>
      <c r="N214" t="s">
        <v>694</v>
      </c>
    </row>
    <row r="215" spans="1:14" ht="11.25" customHeight="1" x14ac:dyDescent="0.15">
      <c r="A215" t="s">
        <v>3627</v>
      </c>
      <c r="B215" t="s">
        <v>1</v>
      </c>
      <c r="C215" t="s">
        <v>4111</v>
      </c>
      <c r="D215" t="s">
        <v>4112</v>
      </c>
      <c r="E215" t="s">
        <v>4113</v>
      </c>
      <c r="F215" t="s">
        <v>4078</v>
      </c>
      <c r="G215" t="s">
        <v>4114</v>
      </c>
      <c r="H215" t="s">
        <v>4</v>
      </c>
      <c r="I215" t="s">
        <v>4115</v>
      </c>
      <c r="J215" t="s">
        <v>4</v>
      </c>
      <c r="K215" t="s">
        <v>3951</v>
      </c>
      <c r="L215" t="s">
        <v>4116</v>
      </c>
      <c r="M215" t="s">
        <v>4117</v>
      </c>
      <c r="N215" t="s">
        <v>694</v>
      </c>
    </row>
    <row r="216" spans="1:14" ht="11.25" customHeight="1" x14ac:dyDescent="0.15">
      <c r="A216" t="s">
        <v>3627</v>
      </c>
      <c r="B216" t="s">
        <v>1</v>
      </c>
      <c r="C216" t="s">
        <v>4111</v>
      </c>
      <c r="D216" t="s">
        <v>4112</v>
      </c>
      <c r="E216" t="s">
        <v>4113</v>
      </c>
      <c r="F216" t="s">
        <v>4078</v>
      </c>
      <c r="G216" t="s">
        <v>4114</v>
      </c>
      <c r="H216" t="s">
        <v>4</v>
      </c>
      <c r="I216" t="s">
        <v>4115</v>
      </c>
      <c r="J216" t="s">
        <v>4</v>
      </c>
      <c r="K216" t="s">
        <v>3954</v>
      </c>
      <c r="L216" t="s">
        <v>4116</v>
      </c>
      <c r="M216" t="s">
        <v>4117</v>
      </c>
      <c r="N216" t="s">
        <v>694</v>
      </c>
    </row>
    <row r="217" spans="1:14" ht="11.25" customHeight="1" x14ac:dyDescent="0.15">
      <c r="A217" t="s">
        <v>3627</v>
      </c>
      <c r="B217" t="s">
        <v>1</v>
      </c>
      <c r="C217" t="s">
        <v>4118</v>
      </c>
      <c r="D217" t="s">
        <v>4119</v>
      </c>
      <c r="E217" t="s">
        <v>4120</v>
      </c>
      <c r="F217" t="s">
        <v>3682</v>
      </c>
      <c r="G217" t="s">
        <v>4</v>
      </c>
      <c r="H217" t="s">
        <v>4</v>
      </c>
      <c r="I217" t="s">
        <v>4121</v>
      </c>
      <c r="J217" t="s">
        <v>4</v>
      </c>
      <c r="K217" t="s">
        <v>3951</v>
      </c>
      <c r="L217" t="s">
        <v>3983</v>
      </c>
      <c r="M217" t="s">
        <v>3984</v>
      </c>
      <c r="N217" t="s">
        <v>694</v>
      </c>
    </row>
    <row r="218" spans="1:14" ht="11.25" customHeight="1" x14ac:dyDescent="0.15">
      <c r="A218" t="s">
        <v>3627</v>
      </c>
      <c r="B218" t="s">
        <v>1</v>
      </c>
      <c r="C218" t="s">
        <v>4122</v>
      </c>
      <c r="D218" t="s">
        <v>4123</v>
      </c>
      <c r="E218" t="s">
        <v>4124</v>
      </c>
      <c r="F218" t="s">
        <v>4018</v>
      </c>
      <c r="G218" t="s">
        <v>4</v>
      </c>
      <c r="H218" t="s">
        <v>4</v>
      </c>
      <c r="I218" t="s">
        <v>3639</v>
      </c>
      <c r="J218" t="s">
        <v>4</v>
      </c>
      <c r="K218" t="s">
        <v>3951</v>
      </c>
      <c r="L218" t="s">
        <v>3983</v>
      </c>
      <c r="M218" t="s">
        <v>3984</v>
      </c>
      <c r="N218" t="s">
        <v>694</v>
      </c>
    </row>
    <row r="219" spans="1:14" ht="11.25" customHeight="1" x14ac:dyDescent="0.15">
      <c r="A219" t="s">
        <v>3627</v>
      </c>
      <c r="B219" t="s">
        <v>1</v>
      </c>
      <c r="C219" t="s">
        <v>3814</v>
      </c>
      <c r="D219" t="s">
        <v>3815</v>
      </c>
      <c r="E219" t="s">
        <v>3816</v>
      </c>
      <c r="F219" t="s">
        <v>3817</v>
      </c>
      <c r="G219" t="s">
        <v>4</v>
      </c>
      <c r="H219" t="s">
        <v>4</v>
      </c>
      <c r="I219" t="s">
        <v>4125</v>
      </c>
      <c r="J219" t="s">
        <v>4</v>
      </c>
      <c r="K219" t="s">
        <v>3951</v>
      </c>
      <c r="L219" t="s">
        <v>3973</v>
      </c>
      <c r="M219" t="s">
        <v>3974</v>
      </c>
      <c r="N219" t="s">
        <v>694</v>
      </c>
    </row>
    <row r="220" spans="1:14" ht="11.25" customHeight="1" x14ac:dyDescent="0.15">
      <c r="A220" t="s">
        <v>3627</v>
      </c>
      <c r="B220" t="s">
        <v>1</v>
      </c>
      <c r="C220" t="s">
        <v>4126</v>
      </c>
      <c r="D220" t="s">
        <v>4127</v>
      </c>
      <c r="E220" t="s">
        <v>4128</v>
      </c>
      <c r="F220" t="s">
        <v>3631</v>
      </c>
      <c r="G220" t="s">
        <v>4</v>
      </c>
      <c r="H220" t="s">
        <v>4</v>
      </c>
      <c r="I220" t="s">
        <v>4129</v>
      </c>
      <c r="J220" t="s">
        <v>4</v>
      </c>
      <c r="K220" t="s">
        <v>3951</v>
      </c>
      <c r="L220" t="s">
        <v>4026</v>
      </c>
      <c r="M220" t="s">
        <v>4027</v>
      </c>
      <c r="N220" t="s">
        <v>694</v>
      </c>
    </row>
    <row r="221" spans="1:14" ht="11.25" customHeight="1" x14ac:dyDescent="0.15">
      <c r="A221" t="s">
        <v>3627</v>
      </c>
      <c r="B221" t="s">
        <v>1</v>
      </c>
      <c r="C221" t="s">
        <v>4126</v>
      </c>
      <c r="D221" t="s">
        <v>4127</v>
      </c>
      <c r="E221" t="s">
        <v>4128</v>
      </c>
      <c r="F221" t="s">
        <v>3631</v>
      </c>
      <c r="G221" t="s">
        <v>4</v>
      </c>
      <c r="H221" t="s">
        <v>4</v>
      </c>
      <c r="I221" t="s">
        <v>4129</v>
      </c>
      <c r="J221" t="s">
        <v>4</v>
      </c>
      <c r="K221" t="s">
        <v>3954</v>
      </c>
      <c r="L221" t="s">
        <v>4026</v>
      </c>
      <c r="M221" t="s">
        <v>4027</v>
      </c>
      <c r="N221" t="s">
        <v>694</v>
      </c>
    </row>
    <row r="222" spans="1:14" ht="11.25" customHeight="1" x14ac:dyDescent="0.15">
      <c r="A222" t="s">
        <v>3627</v>
      </c>
      <c r="B222" t="s">
        <v>1</v>
      </c>
      <c r="C222" t="s">
        <v>4130</v>
      </c>
      <c r="D222" t="s">
        <v>4131</v>
      </c>
      <c r="E222" t="s">
        <v>4132</v>
      </c>
      <c r="F222" t="s">
        <v>3862</v>
      </c>
      <c r="G222" t="s">
        <v>4133</v>
      </c>
      <c r="H222" t="s">
        <v>4</v>
      </c>
      <c r="I222" t="s">
        <v>4134</v>
      </c>
      <c r="J222" t="s">
        <v>4</v>
      </c>
      <c r="K222" t="s">
        <v>3951</v>
      </c>
      <c r="L222" t="s">
        <v>4135</v>
      </c>
      <c r="M222" t="s">
        <v>4136</v>
      </c>
      <c r="N222" t="s">
        <v>694</v>
      </c>
    </row>
    <row r="223" spans="1:14" ht="11.25" customHeight="1" x14ac:dyDescent="0.15">
      <c r="A223" t="s">
        <v>3627</v>
      </c>
      <c r="B223" t="s">
        <v>1</v>
      </c>
      <c r="C223" t="s">
        <v>4137</v>
      </c>
      <c r="D223" t="s">
        <v>4138</v>
      </c>
      <c r="E223" t="s">
        <v>4139</v>
      </c>
      <c r="F223" t="s">
        <v>3740</v>
      </c>
      <c r="G223" t="s">
        <v>4</v>
      </c>
      <c r="H223" t="s">
        <v>4</v>
      </c>
      <c r="I223" t="s">
        <v>4140</v>
      </c>
      <c r="J223" t="s">
        <v>4</v>
      </c>
      <c r="K223" t="s">
        <v>3951</v>
      </c>
      <c r="L223" t="s">
        <v>4026</v>
      </c>
      <c r="M223" t="s">
        <v>4027</v>
      </c>
      <c r="N223" t="s">
        <v>694</v>
      </c>
    </row>
    <row r="224" spans="1:14" ht="11.25" customHeight="1" x14ac:dyDescent="0.15">
      <c r="A224" t="s">
        <v>3627</v>
      </c>
      <c r="B224" t="s">
        <v>1</v>
      </c>
      <c r="C224" t="s">
        <v>4137</v>
      </c>
      <c r="D224" t="s">
        <v>4138</v>
      </c>
      <c r="E224" t="s">
        <v>4139</v>
      </c>
      <c r="F224" t="s">
        <v>3740</v>
      </c>
      <c r="G224" t="s">
        <v>4</v>
      </c>
      <c r="H224" t="s">
        <v>4</v>
      </c>
      <c r="I224" t="s">
        <v>4140</v>
      </c>
      <c r="J224" t="s">
        <v>4</v>
      </c>
      <c r="K224" t="s">
        <v>3954</v>
      </c>
      <c r="L224" t="s">
        <v>4026</v>
      </c>
      <c r="M224" t="s">
        <v>4027</v>
      </c>
      <c r="N224" t="s">
        <v>694</v>
      </c>
    </row>
    <row r="225" spans="1:14" ht="11.25" customHeight="1" x14ac:dyDescent="0.15">
      <c r="A225" t="s">
        <v>3627</v>
      </c>
      <c r="B225" t="s">
        <v>1</v>
      </c>
      <c r="C225" t="s">
        <v>3856</v>
      </c>
      <c r="D225" t="s">
        <v>3857</v>
      </c>
      <c r="E225" t="s">
        <v>3858</v>
      </c>
      <c r="F225" t="s">
        <v>3631</v>
      </c>
      <c r="G225" t="s">
        <v>4</v>
      </c>
      <c r="H225" t="s">
        <v>4</v>
      </c>
      <c r="I225" t="s">
        <v>4141</v>
      </c>
      <c r="J225" t="s">
        <v>4</v>
      </c>
      <c r="K225" t="s">
        <v>3951</v>
      </c>
      <c r="L225" t="s">
        <v>4142</v>
      </c>
      <c r="M225" t="s">
        <v>4143</v>
      </c>
      <c r="N225" t="s">
        <v>694</v>
      </c>
    </row>
    <row r="226" spans="1:14" ht="11.25" customHeight="1" x14ac:dyDescent="0.15">
      <c r="A226" t="s">
        <v>3627</v>
      </c>
      <c r="B226" t="s">
        <v>1</v>
      </c>
      <c r="C226" t="s">
        <v>3856</v>
      </c>
      <c r="D226" t="s">
        <v>3857</v>
      </c>
      <c r="E226" t="s">
        <v>3858</v>
      </c>
      <c r="F226" t="s">
        <v>3631</v>
      </c>
      <c r="G226" t="s">
        <v>4</v>
      </c>
      <c r="H226" t="s">
        <v>4</v>
      </c>
      <c r="I226" t="s">
        <v>4141</v>
      </c>
      <c r="J226" t="s">
        <v>4</v>
      </c>
      <c r="K226" t="s">
        <v>3954</v>
      </c>
      <c r="L226" t="s">
        <v>4142</v>
      </c>
      <c r="M226" t="s">
        <v>4143</v>
      </c>
      <c r="N226" t="s">
        <v>694</v>
      </c>
    </row>
    <row r="227" spans="1:14" ht="11.25" customHeight="1" x14ac:dyDescent="0.15">
      <c r="A227" t="s">
        <v>3627</v>
      </c>
      <c r="B227" t="s">
        <v>1</v>
      </c>
      <c r="C227" t="s">
        <v>3856</v>
      </c>
      <c r="D227" t="s">
        <v>3857</v>
      </c>
      <c r="E227" t="s">
        <v>3858</v>
      </c>
      <c r="F227" t="s">
        <v>3631</v>
      </c>
      <c r="G227" t="s">
        <v>4</v>
      </c>
      <c r="H227" t="s">
        <v>4</v>
      </c>
      <c r="I227" t="s">
        <v>4144</v>
      </c>
      <c r="J227" t="s">
        <v>4</v>
      </c>
      <c r="K227" t="s">
        <v>3951</v>
      </c>
      <c r="L227" t="s">
        <v>4145</v>
      </c>
      <c r="M227" t="s">
        <v>4146</v>
      </c>
      <c r="N227" t="s">
        <v>694</v>
      </c>
    </row>
    <row r="228" spans="1:14" ht="11.25" customHeight="1" x14ac:dyDescent="0.15">
      <c r="A228" t="s">
        <v>3627</v>
      </c>
      <c r="B228" t="s">
        <v>1</v>
      </c>
      <c r="C228" t="s">
        <v>4147</v>
      </c>
      <c r="D228" t="s">
        <v>4148</v>
      </c>
      <c r="E228" t="s">
        <v>4149</v>
      </c>
      <c r="F228" t="s">
        <v>4150</v>
      </c>
      <c r="G228" t="s">
        <v>4</v>
      </c>
      <c r="H228" t="s">
        <v>4</v>
      </c>
      <c r="I228" t="s">
        <v>4151</v>
      </c>
      <c r="J228" t="s">
        <v>4</v>
      </c>
      <c r="K228" t="s">
        <v>3951</v>
      </c>
      <c r="L228" t="s">
        <v>3952</v>
      </c>
      <c r="M228" t="s">
        <v>3953</v>
      </c>
      <c r="N228" t="s">
        <v>694</v>
      </c>
    </row>
    <row r="229" spans="1:14" ht="11.25" customHeight="1" x14ac:dyDescent="0.15">
      <c r="A229" t="s">
        <v>3627</v>
      </c>
      <c r="B229" t="s">
        <v>1</v>
      </c>
      <c r="C229" t="s">
        <v>4147</v>
      </c>
      <c r="D229" t="s">
        <v>4148</v>
      </c>
      <c r="E229" t="s">
        <v>4149</v>
      </c>
      <c r="F229" t="s">
        <v>4150</v>
      </c>
      <c r="G229" t="s">
        <v>4</v>
      </c>
      <c r="H229" t="s">
        <v>4</v>
      </c>
      <c r="I229" t="s">
        <v>4151</v>
      </c>
      <c r="J229" t="s">
        <v>4</v>
      </c>
      <c r="K229" t="s">
        <v>3954</v>
      </c>
      <c r="L229" t="s">
        <v>3952</v>
      </c>
      <c r="M229" t="s">
        <v>3953</v>
      </c>
      <c r="N229" t="s">
        <v>694</v>
      </c>
    </row>
    <row r="230" spans="1:14" ht="11.25" customHeight="1" x14ac:dyDescent="0.15">
      <c r="A230" t="s">
        <v>3627</v>
      </c>
      <c r="B230" t="s">
        <v>1</v>
      </c>
      <c r="C230" t="s">
        <v>4152</v>
      </c>
      <c r="D230" t="s">
        <v>4153</v>
      </c>
      <c r="E230" t="s">
        <v>4154</v>
      </c>
      <c r="F230" t="s">
        <v>3850</v>
      </c>
      <c r="G230" t="s">
        <v>4</v>
      </c>
      <c r="H230" t="s">
        <v>4</v>
      </c>
      <c r="I230" t="s">
        <v>3767</v>
      </c>
      <c r="J230" t="s">
        <v>4</v>
      </c>
      <c r="K230" t="s">
        <v>3951</v>
      </c>
      <c r="L230" t="s">
        <v>3994</v>
      </c>
      <c r="M230" t="s">
        <v>3995</v>
      </c>
      <c r="N230" t="s">
        <v>694</v>
      </c>
    </row>
    <row r="231" spans="1:14" ht="11.25" customHeight="1" x14ac:dyDescent="0.15">
      <c r="A231" t="s">
        <v>3627</v>
      </c>
      <c r="B231" t="s">
        <v>1</v>
      </c>
      <c r="C231" t="s">
        <v>4155</v>
      </c>
      <c r="D231" t="s">
        <v>4156</v>
      </c>
      <c r="E231" t="s">
        <v>4157</v>
      </c>
      <c r="F231" t="s">
        <v>3844</v>
      </c>
      <c r="G231" t="s">
        <v>4</v>
      </c>
      <c r="H231" t="s">
        <v>4</v>
      </c>
      <c r="I231" t="s">
        <v>3639</v>
      </c>
      <c r="J231" t="s">
        <v>4</v>
      </c>
      <c r="K231" t="s">
        <v>3951</v>
      </c>
      <c r="L231" t="s">
        <v>3997</v>
      </c>
      <c r="M231" t="s">
        <v>3998</v>
      </c>
      <c r="N231" t="s">
        <v>694</v>
      </c>
    </row>
    <row r="232" spans="1:14" ht="11.25" customHeight="1" x14ac:dyDescent="0.15">
      <c r="A232" t="s">
        <v>3627</v>
      </c>
      <c r="B232" t="s">
        <v>1</v>
      </c>
      <c r="C232" t="s">
        <v>4155</v>
      </c>
      <c r="D232" t="s">
        <v>4156</v>
      </c>
      <c r="E232" t="s">
        <v>4157</v>
      </c>
      <c r="F232" t="s">
        <v>3844</v>
      </c>
      <c r="G232" t="s">
        <v>4</v>
      </c>
      <c r="H232" t="s">
        <v>4</v>
      </c>
      <c r="I232" t="s">
        <v>3639</v>
      </c>
      <c r="J232" t="s">
        <v>4</v>
      </c>
      <c r="K232" t="s">
        <v>3954</v>
      </c>
      <c r="L232" t="s">
        <v>3997</v>
      </c>
      <c r="M232" t="s">
        <v>3998</v>
      </c>
      <c r="N232" t="s">
        <v>694</v>
      </c>
    </row>
    <row r="233" spans="1:14" ht="11.25" customHeight="1" x14ac:dyDescent="0.15">
      <c r="A233" t="s">
        <v>3627</v>
      </c>
      <c r="B233" t="s">
        <v>1</v>
      </c>
      <c r="C233" t="s">
        <v>3859</v>
      </c>
      <c r="D233" t="s">
        <v>3860</v>
      </c>
      <c r="E233" t="s">
        <v>3861</v>
      </c>
      <c r="F233" t="s">
        <v>3862</v>
      </c>
      <c r="G233" t="s">
        <v>3675</v>
      </c>
      <c r="H233" t="s">
        <v>4</v>
      </c>
      <c r="I233" t="s">
        <v>3647</v>
      </c>
      <c r="J233" t="s">
        <v>4</v>
      </c>
      <c r="K233" t="s">
        <v>3951</v>
      </c>
      <c r="L233" t="s">
        <v>4026</v>
      </c>
      <c r="M233" t="s">
        <v>4027</v>
      </c>
      <c r="N233" t="s">
        <v>694</v>
      </c>
    </row>
    <row r="234" spans="1:14" ht="11.25" customHeight="1" x14ac:dyDescent="0.15">
      <c r="A234" t="s">
        <v>3627</v>
      </c>
      <c r="B234" t="s">
        <v>1</v>
      </c>
      <c r="C234" t="s">
        <v>3859</v>
      </c>
      <c r="D234" t="s">
        <v>3860</v>
      </c>
      <c r="E234" t="s">
        <v>3861</v>
      </c>
      <c r="F234" t="s">
        <v>3862</v>
      </c>
      <c r="G234" t="s">
        <v>3675</v>
      </c>
      <c r="H234" t="s">
        <v>4</v>
      </c>
      <c r="I234" t="s">
        <v>3647</v>
      </c>
      <c r="J234" t="s">
        <v>4</v>
      </c>
      <c r="K234" t="s">
        <v>3954</v>
      </c>
      <c r="L234" t="s">
        <v>4026</v>
      </c>
      <c r="M234" t="s">
        <v>4027</v>
      </c>
      <c r="N234" t="s">
        <v>694</v>
      </c>
    </row>
    <row r="235" spans="1:14" ht="11.25" customHeight="1" x14ac:dyDescent="0.15">
      <c r="A235" t="s">
        <v>3627</v>
      </c>
      <c r="B235" t="s">
        <v>1</v>
      </c>
      <c r="C235" t="s">
        <v>4158</v>
      </c>
      <c r="D235" t="s">
        <v>4159</v>
      </c>
      <c r="E235" t="s">
        <v>4160</v>
      </c>
      <c r="F235" t="s">
        <v>3862</v>
      </c>
      <c r="G235" t="s">
        <v>4</v>
      </c>
      <c r="H235" t="s">
        <v>4</v>
      </c>
      <c r="I235" t="s">
        <v>3647</v>
      </c>
      <c r="J235" t="s">
        <v>4</v>
      </c>
      <c r="K235" t="s">
        <v>3951</v>
      </c>
      <c r="L235" t="s">
        <v>4013</v>
      </c>
      <c r="M235" t="s">
        <v>4014</v>
      </c>
      <c r="N235" t="s">
        <v>694</v>
      </c>
    </row>
    <row r="236" spans="1:14" ht="11.25" customHeight="1" x14ac:dyDescent="0.15">
      <c r="A236" t="s">
        <v>3627</v>
      </c>
      <c r="B236" t="s">
        <v>1</v>
      </c>
      <c r="C236" t="s">
        <v>4161</v>
      </c>
      <c r="D236" t="s">
        <v>4162</v>
      </c>
      <c r="E236" t="s">
        <v>4163</v>
      </c>
      <c r="F236" t="s">
        <v>3674</v>
      </c>
      <c r="G236" t="s">
        <v>4</v>
      </c>
      <c r="H236" t="s">
        <v>4</v>
      </c>
      <c r="I236" t="s">
        <v>3689</v>
      </c>
      <c r="J236" t="s">
        <v>4</v>
      </c>
      <c r="K236" t="s">
        <v>3951</v>
      </c>
      <c r="L236" t="s">
        <v>4013</v>
      </c>
      <c r="M236" t="s">
        <v>4014</v>
      </c>
      <c r="N236" t="s">
        <v>694</v>
      </c>
    </row>
    <row r="237" spans="1:14" ht="11.25" customHeight="1" x14ac:dyDescent="0.15">
      <c r="A237" t="s">
        <v>3627</v>
      </c>
      <c r="B237" t="s">
        <v>1</v>
      </c>
      <c r="C237" t="s">
        <v>4164</v>
      </c>
      <c r="D237" t="s">
        <v>4165</v>
      </c>
      <c r="E237" t="s">
        <v>4166</v>
      </c>
      <c r="F237" t="s">
        <v>3631</v>
      </c>
      <c r="G237" t="s">
        <v>4</v>
      </c>
      <c r="H237" t="s">
        <v>4</v>
      </c>
      <c r="I237" t="s">
        <v>3632</v>
      </c>
      <c r="J237" t="s">
        <v>4</v>
      </c>
      <c r="K237" t="s">
        <v>3951</v>
      </c>
      <c r="L237" t="s">
        <v>3994</v>
      </c>
      <c r="M237" t="s">
        <v>3995</v>
      </c>
      <c r="N237" t="s">
        <v>694</v>
      </c>
    </row>
    <row r="238" spans="1:14" ht="11.25" customHeight="1" x14ac:dyDescent="0.15">
      <c r="A238" t="s">
        <v>3627</v>
      </c>
      <c r="B238" t="s">
        <v>1</v>
      </c>
      <c r="C238" t="s">
        <v>4167</v>
      </c>
      <c r="D238" t="s">
        <v>4168</v>
      </c>
      <c r="E238" t="s">
        <v>4169</v>
      </c>
      <c r="F238" t="s">
        <v>3674</v>
      </c>
      <c r="G238" t="s">
        <v>4</v>
      </c>
      <c r="H238" t="s">
        <v>4</v>
      </c>
      <c r="I238" t="s">
        <v>3689</v>
      </c>
      <c r="J238" t="s">
        <v>4</v>
      </c>
      <c r="K238" t="s">
        <v>3951</v>
      </c>
      <c r="L238" t="s">
        <v>3971</v>
      </c>
      <c r="M238" t="s">
        <v>4003</v>
      </c>
      <c r="N238" t="s">
        <v>694</v>
      </c>
    </row>
    <row r="239" spans="1:14" ht="11.25" customHeight="1" x14ac:dyDescent="0.15">
      <c r="A239" t="s">
        <v>3627</v>
      </c>
      <c r="B239" t="s">
        <v>1</v>
      </c>
      <c r="C239" t="s">
        <v>4167</v>
      </c>
      <c r="D239" t="s">
        <v>4168</v>
      </c>
      <c r="E239" t="s">
        <v>4169</v>
      </c>
      <c r="F239" t="s">
        <v>3674</v>
      </c>
      <c r="G239" t="s">
        <v>4</v>
      </c>
      <c r="H239" t="s">
        <v>4</v>
      </c>
      <c r="I239" t="s">
        <v>4170</v>
      </c>
      <c r="J239" t="s">
        <v>4</v>
      </c>
      <c r="K239" t="s">
        <v>3951</v>
      </c>
      <c r="L239" t="s">
        <v>3971</v>
      </c>
      <c r="M239" t="s">
        <v>3975</v>
      </c>
      <c r="N239" t="s">
        <v>694</v>
      </c>
    </row>
    <row r="240" spans="1:14" ht="11.25" customHeight="1" x14ac:dyDescent="0.15">
      <c r="A240" t="s">
        <v>3627</v>
      </c>
      <c r="B240" t="s">
        <v>1</v>
      </c>
      <c r="C240" t="s">
        <v>4171</v>
      </c>
      <c r="D240" t="s">
        <v>4172</v>
      </c>
      <c r="E240" t="s">
        <v>4173</v>
      </c>
      <c r="F240" t="s">
        <v>3669</v>
      </c>
      <c r="G240" t="s">
        <v>3946</v>
      </c>
      <c r="H240" t="s">
        <v>4</v>
      </c>
      <c r="I240" t="s">
        <v>3946</v>
      </c>
      <c r="J240" t="s">
        <v>4</v>
      </c>
      <c r="K240" t="s">
        <v>3951</v>
      </c>
      <c r="L240" t="s">
        <v>3971</v>
      </c>
      <c r="M240" t="s">
        <v>3975</v>
      </c>
      <c r="N240" t="s">
        <v>694</v>
      </c>
    </row>
    <row r="241" spans="1:14" ht="11.25" customHeight="1" x14ac:dyDescent="0.15">
      <c r="A241" t="s">
        <v>3627</v>
      </c>
      <c r="B241" t="s">
        <v>1</v>
      </c>
      <c r="C241" t="s">
        <v>4174</v>
      </c>
      <c r="D241" t="s">
        <v>4175</v>
      </c>
      <c r="E241" t="s">
        <v>4176</v>
      </c>
      <c r="F241" t="s">
        <v>3631</v>
      </c>
      <c r="G241" t="s">
        <v>4</v>
      </c>
      <c r="H241" t="s">
        <v>4</v>
      </c>
      <c r="I241" t="s">
        <v>3632</v>
      </c>
      <c r="J241" t="s">
        <v>4</v>
      </c>
      <c r="K241" t="s">
        <v>3951</v>
      </c>
      <c r="L241" t="s">
        <v>3952</v>
      </c>
      <c r="M241" t="s">
        <v>3953</v>
      </c>
      <c r="N241" t="s">
        <v>694</v>
      </c>
    </row>
    <row r="242" spans="1:14" ht="11.25" customHeight="1" x14ac:dyDescent="0.15">
      <c r="A242" t="s">
        <v>3627</v>
      </c>
      <c r="B242" t="s">
        <v>1</v>
      </c>
      <c r="C242" t="s">
        <v>4174</v>
      </c>
      <c r="D242" t="s">
        <v>4175</v>
      </c>
      <c r="E242" t="s">
        <v>4176</v>
      </c>
      <c r="F242" t="s">
        <v>3631</v>
      </c>
      <c r="G242" t="s">
        <v>4</v>
      </c>
      <c r="H242" t="s">
        <v>4</v>
      </c>
      <c r="I242" t="s">
        <v>3632</v>
      </c>
      <c r="J242" t="s">
        <v>4</v>
      </c>
      <c r="K242" t="s">
        <v>3954</v>
      </c>
      <c r="L242" t="s">
        <v>3952</v>
      </c>
      <c r="M242" t="s">
        <v>3953</v>
      </c>
      <c r="N242" t="s">
        <v>694</v>
      </c>
    </row>
    <row r="243" spans="1:14" ht="11.25" customHeight="1" x14ac:dyDescent="0.15">
      <c r="A243" t="s">
        <v>3627</v>
      </c>
      <c r="B243" t="s">
        <v>1</v>
      </c>
      <c r="C243" t="s">
        <v>4177</v>
      </c>
      <c r="D243" t="s">
        <v>4178</v>
      </c>
      <c r="E243" t="s">
        <v>4179</v>
      </c>
      <c r="F243" t="s">
        <v>3631</v>
      </c>
      <c r="G243" t="s">
        <v>4</v>
      </c>
      <c r="H243" t="s">
        <v>4</v>
      </c>
      <c r="I243" t="s">
        <v>3632</v>
      </c>
      <c r="J243" t="s">
        <v>4</v>
      </c>
      <c r="K243" t="s">
        <v>3951</v>
      </c>
      <c r="L243" t="s">
        <v>3952</v>
      </c>
      <c r="M243" t="s">
        <v>3953</v>
      </c>
      <c r="N243" t="s">
        <v>694</v>
      </c>
    </row>
    <row r="244" spans="1:14" ht="11.25" customHeight="1" x14ac:dyDescent="0.15">
      <c r="A244" t="s">
        <v>3627</v>
      </c>
      <c r="B244" t="s">
        <v>1</v>
      </c>
      <c r="C244" t="s">
        <v>4177</v>
      </c>
      <c r="D244" t="s">
        <v>4178</v>
      </c>
      <c r="E244" t="s">
        <v>4179</v>
      </c>
      <c r="F244" t="s">
        <v>3631</v>
      </c>
      <c r="G244" t="s">
        <v>4</v>
      </c>
      <c r="H244" t="s">
        <v>4</v>
      </c>
      <c r="I244" t="s">
        <v>3632</v>
      </c>
      <c r="J244" t="s">
        <v>4</v>
      </c>
      <c r="K244" t="s">
        <v>3954</v>
      </c>
      <c r="L244" t="s">
        <v>3952</v>
      </c>
      <c r="M244" t="s">
        <v>3953</v>
      </c>
      <c r="N244" t="s">
        <v>694</v>
      </c>
    </row>
    <row r="245" spans="1:14" ht="11.25" customHeight="1" x14ac:dyDescent="0.15">
      <c r="A245" t="s">
        <v>3627</v>
      </c>
      <c r="B245" t="s">
        <v>1</v>
      </c>
      <c r="C245" t="s">
        <v>3884</v>
      </c>
      <c r="D245" t="s">
        <v>3885</v>
      </c>
      <c r="E245" t="s">
        <v>3886</v>
      </c>
      <c r="F245" t="s">
        <v>3669</v>
      </c>
      <c r="G245" t="s">
        <v>3887</v>
      </c>
      <c r="H245" t="s">
        <v>4</v>
      </c>
      <c r="I245" t="s">
        <v>4180</v>
      </c>
      <c r="J245" t="s">
        <v>4</v>
      </c>
      <c r="K245" t="s">
        <v>3951</v>
      </c>
      <c r="L245" t="s">
        <v>3983</v>
      </c>
      <c r="M245" t="s">
        <v>3984</v>
      </c>
      <c r="N245" t="s">
        <v>694</v>
      </c>
    </row>
    <row r="246" spans="1:14" ht="11.25" customHeight="1" x14ac:dyDescent="0.15">
      <c r="A246" t="s">
        <v>3627</v>
      </c>
      <c r="B246" t="s">
        <v>1</v>
      </c>
      <c r="C246" t="s">
        <v>3884</v>
      </c>
      <c r="D246" t="s">
        <v>3885</v>
      </c>
      <c r="E246" t="s">
        <v>3886</v>
      </c>
      <c r="F246" t="s">
        <v>3669</v>
      </c>
      <c r="G246" t="s">
        <v>3887</v>
      </c>
      <c r="H246" t="s">
        <v>4</v>
      </c>
      <c r="I246" t="s">
        <v>3647</v>
      </c>
      <c r="J246" t="s">
        <v>4</v>
      </c>
      <c r="K246" t="s">
        <v>3951</v>
      </c>
      <c r="L246" t="s">
        <v>3983</v>
      </c>
      <c r="M246" t="s">
        <v>3984</v>
      </c>
      <c r="N246" t="s">
        <v>694</v>
      </c>
    </row>
    <row r="247" spans="1:14" ht="11.25" customHeight="1" x14ac:dyDescent="0.15">
      <c r="A247" t="s">
        <v>3627</v>
      </c>
      <c r="B247" t="s">
        <v>1</v>
      </c>
      <c r="C247" t="s">
        <v>3884</v>
      </c>
      <c r="D247" t="s">
        <v>3885</v>
      </c>
      <c r="E247" t="s">
        <v>3886</v>
      </c>
      <c r="F247" t="s">
        <v>3669</v>
      </c>
      <c r="G247" t="s">
        <v>3887</v>
      </c>
      <c r="H247" t="s">
        <v>4</v>
      </c>
      <c r="I247" t="s">
        <v>3647</v>
      </c>
      <c r="J247" t="s">
        <v>4</v>
      </c>
      <c r="K247" t="s">
        <v>3951</v>
      </c>
      <c r="L247" t="s">
        <v>4026</v>
      </c>
      <c r="M247" t="s">
        <v>4027</v>
      </c>
      <c r="N247" t="s">
        <v>694</v>
      </c>
    </row>
    <row r="248" spans="1:14" ht="11.25" customHeight="1" x14ac:dyDescent="0.15">
      <c r="A248" t="s">
        <v>3627</v>
      </c>
      <c r="B248" t="s">
        <v>1</v>
      </c>
      <c r="C248" t="s">
        <v>3884</v>
      </c>
      <c r="D248" t="s">
        <v>3885</v>
      </c>
      <c r="E248" t="s">
        <v>3886</v>
      </c>
      <c r="F248" t="s">
        <v>3669</v>
      </c>
      <c r="G248" t="s">
        <v>3887</v>
      </c>
      <c r="H248" t="s">
        <v>4</v>
      </c>
      <c r="I248" t="s">
        <v>3647</v>
      </c>
      <c r="J248" t="s">
        <v>4</v>
      </c>
      <c r="K248" t="s">
        <v>3954</v>
      </c>
      <c r="L248" t="s">
        <v>4026</v>
      </c>
      <c r="M248" t="s">
        <v>4027</v>
      </c>
      <c r="N248" t="s">
        <v>694</v>
      </c>
    </row>
    <row r="249" spans="1:14" ht="11.25" customHeight="1" x14ac:dyDescent="0.15">
      <c r="A249" t="s">
        <v>3627</v>
      </c>
      <c r="B249" t="s">
        <v>1</v>
      </c>
      <c r="C249" t="s">
        <v>4181</v>
      </c>
      <c r="D249" t="s">
        <v>4182</v>
      </c>
      <c r="E249" t="s">
        <v>4183</v>
      </c>
      <c r="F249" t="s">
        <v>4018</v>
      </c>
      <c r="G249" t="s">
        <v>4</v>
      </c>
      <c r="H249" t="s">
        <v>4</v>
      </c>
      <c r="I249" t="s">
        <v>3639</v>
      </c>
      <c r="J249" t="s">
        <v>4</v>
      </c>
      <c r="K249" t="s">
        <v>3951</v>
      </c>
      <c r="L249" t="s">
        <v>3994</v>
      </c>
      <c r="M249" t="s">
        <v>3995</v>
      </c>
      <c r="N249" t="s">
        <v>694</v>
      </c>
    </row>
    <row r="250" spans="1:14" ht="11.25" customHeight="1" x14ac:dyDescent="0.15">
      <c r="A250" t="s">
        <v>3627</v>
      </c>
      <c r="B250" t="s">
        <v>1</v>
      </c>
      <c r="C250" t="s">
        <v>4184</v>
      </c>
      <c r="D250" t="s">
        <v>4185</v>
      </c>
      <c r="E250" t="s">
        <v>4186</v>
      </c>
      <c r="F250" t="s">
        <v>4187</v>
      </c>
      <c r="G250" t="s">
        <v>4</v>
      </c>
      <c r="H250" t="s">
        <v>4</v>
      </c>
      <c r="I250" t="s">
        <v>3767</v>
      </c>
      <c r="J250" t="s">
        <v>4</v>
      </c>
      <c r="K250" t="s">
        <v>3951</v>
      </c>
      <c r="L250" t="s">
        <v>3952</v>
      </c>
      <c r="M250" t="s">
        <v>3953</v>
      </c>
      <c r="N250" t="s">
        <v>694</v>
      </c>
    </row>
    <row r="251" spans="1:14" ht="11.25" customHeight="1" x14ac:dyDescent="0.15">
      <c r="A251" t="s">
        <v>3627</v>
      </c>
      <c r="B251" t="s">
        <v>1</v>
      </c>
      <c r="C251" t="s">
        <v>4184</v>
      </c>
      <c r="D251" t="s">
        <v>4185</v>
      </c>
      <c r="E251" t="s">
        <v>4186</v>
      </c>
      <c r="F251" t="s">
        <v>4187</v>
      </c>
      <c r="G251" t="s">
        <v>4</v>
      </c>
      <c r="H251" t="s">
        <v>4</v>
      </c>
      <c r="I251" t="s">
        <v>3767</v>
      </c>
      <c r="J251" t="s">
        <v>4</v>
      </c>
      <c r="K251" t="s">
        <v>3954</v>
      </c>
      <c r="L251" t="s">
        <v>3952</v>
      </c>
      <c r="M251" t="s">
        <v>3953</v>
      </c>
      <c r="N251" t="s">
        <v>694</v>
      </c>
    </row>
    <row r="252" spans="1:14" ht="11.25" customHeight="1" x14ac:dyDescent="0.15">
      <c r="A252" t="s">
        <v>3627</v>
      </c>
      <c r="B252" t="s">
        <v>1</v>
      </c>
      <c r="C252" t="s">
        <v>3896</v>
      </c>
      <c r="D252" t="s">
        <v>3897</v>
      </c>
      <c r="E252" t="s">
        <v>3898</v>
      </c>
      <c r="F252" t="s">
        <v>3850</v>
      </c>
      <c r="G252" t="s">
        <v>4</v>
      </c>
      <c r="H252" t="s">
        <v>4</v>
      </c>
      <c r="I252" t="s">
        <v>3632</v>
      </c>
      <c r="J252" t="s">
        <v>4</v>
      </c>
      <c r="K252" t="s">
        <v>3951</v>
      </c>
      <c r="L252" t="s">
        <v>3952</v>
      </c>
      <c r="M252" t="s">
        <v>3953</v>
      </c>
      <c r="N252" t="s">
        <v>694</v>
      </c>
    </row>
    <row r="253" spans="1:14" ht="11.25" customHeight="1" x14ac:dyDescent="0.15">
      <c r="A253" t="s">
        <v>3627</v>
      </c>
      <c r="B253" t="s">
        <v>1</v>
      </c>
      <c r="C253" t="s">
        <v>3896</v>
      </c>
      <c r="D253" t="s">
        <v>3897</v>
      </c>
      <c r="E253" t="s">
        <v>3898</v>
      </c>
      <c r="F253" t="s">
        <v>3850</v>
      </c>
      <c r="G253" t="s">
        <v>4</v>
      </c>
      <c r="H253" t="s">
        <v>4</v>
      </c>
      <c r="I253" t="s">
        <v>3632</v>
      </c>
      <c r="J253" t="s">
        <v>4</v>
      </c>
      <c r="K253" t="s">
        <v>3954</v>
      </c>
      <c r="L253" t="s">
        <v>3952</v>
      </c>
      <c r="M253" t="s">
        <v>3953</v>
      </c>
      <c r="N253" t="s">
        <v>694</v>
      </c>
    </row>
    <row r="254" spans="1:14" ht="11.25" customHeight="1" x14ac:dyDescent="0.15">
      <c r="A254" t="s">
        <v>3627</v>
      </c>
      <c r="B254" t="s">
        <v>1</v>
      </c>
      <c r="C254" t="s">
        <v>3899</v>
      </c>
      <c r="D254" t="s">
        <v>3900</v>
      </c>
      <c r="E254" t="s">
        <v>3901</v>
      </c>
      <c r="F254" t="s">
        <v>3902</v>
      </c>
      <c r="G254" t="s">
        <v>3903</v>
      </c>
      <c r="H254" t="s">
        <v>4</v>
      </c>
      <c r="I254" t="s">
        <v>4188</v>
      </c>
      <c r="J254" t="s">
        <v>4</v>
      </c>
      <c r="K254" t="s">
        <v>3951</v>
      </c>
      <c r="L254" t="s">
        <v>3983</v>
      </c>
      <c r="M254" t="s">
        <v>3984</v>
      </c>
      <c r="N254" t="s">
        <v>694</v>
      </c>
    </row>
    <row r="255" spans="1:14" ht="11.25" customHeight="1" x14ac:dyDescent="0.15">
      <c r="A255" t="s">
        <v>3627</v>
      </c>
      <c r="B255" t="s">
        <v>1</v>
      </c>
      <c r="C255" t="s">
        <v>3899</v>
      </c>
      <c r="D255" t="s">
        <v>3900</v>
      </c>
      <c r="E255" t="s">
        <v>3901</v>
      </c>
      <c r="F255" t="s">
        <v>3902</v>
      </c>
      <c r="G255" t="s">
        <v>3903</v>
      </c>
      <c r="H255" t="s">
        <v>4</v>
      </c>
      <c r="I255" t="s">
        <v>4188</v>
      </c>
      <c r="J255" t="s">
        <v>4</v>
      </c>
      <c r="K255" t="s">
        <v>3951</v>
      </c>
      <c r="L255" t="s">
        <v>4026</v>
      </c>
      <c r="M255" t="s">
        <v>4027</v>
      </c>
      <c r="N255" t="s">
        <v>694</v>
      </c>
    </row>
    <row r="256" spans="1:14" ht="11.25" customHeight="1" x14ac:dyDescent="0.15">
      <c r="A256" t="s">
        <v>3627</v>
      </c>
      <c r="B256" t="s">
        <v>1</v>
      </c>
      <c r="C256" t="s">
        <v>3899</v>
      </c>
      <c r="D256" t="s">
        <v>3900</v>
      </c>
      <c r="E256" t="s">
        <v>3901</v>
      </c>
      <c r="F256" t="s">
        <v>3902</v>
      </c>
      <c r="G256" t="s">
        <v>3903</v>
      </c>
      <c r="H256" t="s">
        <v>4</v>
      </c>
      <c r="I256" t="s">
        <v>4188</v>
      </c>
      <c r="J256" t="s">
        <v>4</v>
      </c>
      <c r="K256" t="s">
        <v>3954</v>
      </c>
      <c r="L256" t="s">
        <v>4026</v>
      </c>
      <c r="M256" t="s">
        <v>4027</v>
      </c>
      <c r="N256" t="s">
        <v>694</v>
      </c>
    </row>
    <row r="257" spans="1:14" ht="11.25" customHeight="1" x14ac:dyDescent="0.15">
      <c r="A257" t="s">
        <v>3627</v>
      </c>
      <c r="B257" t="s">
        <v>1</v>
      </c>
      <c r="C257" t="s">
        <v>3899</v>
      </c>
      <c r="D257" t="s">
        <v>3900</v>
      </c>
      <c r="E257" t="s">
        <v>3901</v>
      </c>
      <c r="F257" t="s">
        <v>3902</v>
      </c>
      <c r="G257" t="s">
        <v>3903</v>
      </c>
      <c r="H257" t="s">
        <v>4</v>
      </c>
      <c r="I257" t="s">
        <v>3716</v>
      </c>
      <c r="J257" t="s">
        <v>4</v>
      </c>
      <c r="K257" t="s">
        <v>3951</v>
      </c>
      <c r="L257" t="s">
        <v>3983</v>
      </c>
      <c r="M257" t="s">
        <v>3984</v>
      </c>
      <c r="N257" t="s">
        <v>694</v>
      </c>
    </row>
    <row r="258" spans="1:14" ht="11.25" customHeight="1" x14ac:dyDescent="0.15">
      <c r="A258" t="s">
        <v>3627</v>
      </c>
      <c r="B258" t="s">
        <v>1</v>
      </c>
      <c r="C258" t="s">
        <v>3899</v>
      </c>
      <c r="D258" t="s">
        <v>3900</v>
      </c>
      <c r="E258" t="s">
        <v>3901</v>
      </c>
      <c r="F258" t="s">
        <v>3902</v>
      </c>
      <c r="G258" t="s">
        <v>3903</v>
      </c>
      <c r="H258" t="s">
        <v>4</v>
      </c>
      <c r="I258" t="s">
        <v>3716</v>
      </c>
      <c r="J258" t="s">
        <v>4</v>
      </c>
      <c r="K258" t="s">
        <v>3951</v>
      </c>
      <c r="L258" t="s">
        <v>4026</v>
      </c>
      <c r="M258" t="s">
        <v>4027</v>
      </c>
      <c r="N258" t="s">
        <v>694</v>
      </c>
    </row>
    <row r="259" spans="1:14" ht="11.25" customHeight="1" x14ac:dyDescent="0.15">
      <c r="A259" t="s">
        <v>3627</v>
      </c>
      <c r="B259" t="s">
        <v>1</v>
      </c>
      <c r="C259" t="s">
        <v>3899</v>
      </c>
      <c r="D259" t="s">
        <v>3900</v>
      </c>
      <c r="E259" t="s">
        <v>3901</v>
      </c>
      <c r="F259" t="s">
        <v>3902</v>
      </c>
      <c r="G259" t="s">
        <v>3903</v>
      </c>
      <c r="H259" t="s">
        <v>4</v>
      </c>
      <c r="I259" t="s">
        <v>3716</v>
      </c>
      <c r="J259" t="s">
        <v>4</v>
      </c>
      <c r="K259" t="s">
        <v>3954</v>
      </c>
      <c r="L259" t="s">
        <v>4026</v>
      </c>
      <c r="M259" t="s">
        <v>4027</v>
      </c>
      <c r="N259" t="s">
        <v>694</v>
      </c>
    </row>
    <row r="260" spans="1:14" ht="11.25" customHeight="1" x14ac:dyDescent="0.15">
      <c r="A260" t="s">
        <v>3627</v>
      </c>
      <c r="B260" t="s">
        <v>1</v>
      </c>
      <c r="C260" t="s">
        <v>3899</v>
      </c>
      <c r="D260" t="s">
        <v>3900</v>
      </c>
      <c r="E260" t="s">
        <v>3901</v>
      </c>
      <c r="F260" t="s">
        <v>3902</v>
      </c>
      <c r="G260" t="s">
        <v>3903</v>
      </c>
      <c r="H260" t="s">
        <v>4</v>
      </c>
      <c r="I260" t="s">
        <v>3767</v>
      </c>
      <c r="J260" t="s">
        <v>4</v>
      </c>
      <c r="K260" t="s">
        <v>3951</v>
      </c>
      <c r="L260" t="s">
        <v>3983</v>
      </c>
      <c r="M260" t="s">
        <v>3984</v>
      </c>
      <c r="N260" t="s">
        <v>694</v>
      </c>
    </row>
    <row r="261" spans="1:14" ht="11.25" customHeight="1" x14ac:dyDescent="0.15">
      <c r="A261" t="s">
        <v>3627</v>
      </c>
      <c r="B261" t="s">
        <v>1</v>
      </c>
      <c r="C261" t="s">
        <v>3899</v>
      </c>
      <c r="D261" t="s">
        <v>3900</v>
      </c>
      <c r="E261" t="s">
        <v>3901</v>
      </c>
      <c r="F261" t="s">
        <v>3902</v>
      </c>
      <c r="G261" t="s">
        <v>3903</v>
      </c>
      <c r="H261" t="s">
        <v>4</v>
      </c>
      <c r="I261" t="s">
        <v>3767</v>
      </c>
      <c r="J261" t="s">
        <v>4</v>
      </c>
      <c r="K261" t="s">
        <v>3951</v>
      </c>
      <c r="L261" t="s">
        <v>4026</v>
      </c>
      <c r="M261" t="s">
        <v>4027</v>
      </c>
      <c r="N261" t="s">
        <v>694</v>
      </c>
    </row>
    <row r="262" spans="1:14" ht="11.25" customHeight="1" x14ac:dyDescent="0.15">
      <c r="A262" t="s">
        <v>3627</v>
      </c>
      <c r="B262" t="s">
        <v>1</v>
      </c>
      <c r="C262" t="s">
        <v>3899</v>
      </c>
      <c r="D262" t="s">
        <v>3900</v>
      </c>
      <c r="E262" t="s">
        <v>3901</v>
      </c>
      <c r="F262" t="s">
        <v>3902</v>
      </c>
      <c r="G262" t="s">
        <v>3903</v>
      </c>
      <c r="H262" t="s">
        <v>4</v>
      </c>
      <c r="I262" t="s">
        <v>3767</v>
      </c>
      <c r="J262" t="s">
        <v>4</v>
      </c>
      <c r="K262" t="s">
        <v>3954</v>
      </c>
      <c r="L262" t="s">
        <v>4026</v>
      </c>
      <c r="M262" t="s">
        <v>4027</v>
      </c>
      <c r="N262" t="s">
        <v>694</v>
      </c>
    </row>
    <row r="263" spans="1:14" ht="11.25" customHeight="1" x14ac:dyDescent="0.15">
      <c r="A263" t="s">
        <v>3627</v>
      </c>
      <c r="B263" t="s">
        <v>1</v>
      </c>
      <c r="C263" t="s">
        <v>3899</v>
      </c>
      <c r="D263" t="s">
        <v>3900</v>
      </c>
      <c r="E263" t="s">
        <v>3901</v>
      </c>
      <c r="F263" t="s">
        <v>3902</v>
      </c>
      <c r="G263" t="s">
        <v>3903</v>
      </c>
      <c r="H263" t="s">
        <v>4</v>
      </c>
      <c r="I263" t="s">
        <v>3647</v>
      </c>
      <c r="J263" t="s">
        <v>4</v>
      </c>
      <c r="K263" t="s">
        <v>3951</v>
      </c>
      <c r="L263" t="s">
        <v>3983</v>
      </c>
      <c r="M263" t="s">
        <v>3984</v>
      </c>
      <c r="N263" t="s">
        <v>694</v>
      </c>
    </row>
    <row r="264" spans="1:14" ht="11.25" customHeight="1" x14ac:dyDescent="0.15">
      <c r="A264" t="s">
        <v>3627</v>
      </c>
      <c r="B264" t="s">
        <v>1</v>
      </c>
      <c r="C264" t="s">
        <v>3899</v>
      </c>
      <c r="D264" t="s">
        <v>3900</v>
      </c>
      <c r="E264" t="s">
        <v>3901</v>
      </c>
      <c r="F264" t="s">
        <v>3902</v>
      </c>
      <c r="G264" t="s">
        <v>3903</v>
      </c>
      <c r="H264" t="s">
        <v>4</v>
      </c>
      <c r="I264" t="s">
        <v>3647</v>
      </c>
      <c r="J264" t="s">
        <v>4</v>
      </c>
      <c r="K264" t="s">
        <v>3951</v>
      </c>
      <c r="L264" t="s">
        <v>4026</v>
      </c>
      <c r="M264" t="s">
        <v>4027</v>
      </c>
      <c r="N264" t="s">
        <v>694</v>
      </c>
    </row>
    <row r="265" spans="1:14" ht="11.25" customHeight="1" x14ac:dyDescent="0.15">
      <c r="A265" t="s">
        <v>3627</v>
      </c>
      <c r="B265" t="s">
        <v>1</v>
      </c>
      <c r="C265" t="s">
        <v>3899</v>
      </c>
      <c r="D265" t="s">
        <v>3900</v>
      </c>
      <c r="E265" t="s">
        <v>3901</v>
      </c>
      <c r="F265" t="s">
        <v>3902</v>
      </c>
      <c r="G265" t="s">
        <v>3903</v>
      </c>
      <c r="H265" t="s">
        <v>4</v>
      </c>
      <c r="I265" t="s">
        <v>3647</v>
      </c>
      <c r="J265" t="s">
        <v>4</v>
      </c>
      <c r="K265" t="s">
        <v>3954</v>
      </c>
      <c r="L265" t="s">
        <v>4026</v>
      </c>
      <c r="M265" t="s">
        <v>4027</v>
      </c>
      <c r="N265" t="s">
        <v>694</v>
      </c>
    </row>
    <row r="266" spans="1:14" ht="11.25" customHeight="1" x14ac:dyDescent="0.15">
      <c r="A266" t="s">
        <v>3627</v>
      </c>
      <c r="B266" t="s">
        <v>1</v>
      </c>
      <c r="C266" t="s">
        <v>3909</v>
      </c>
      <c r="D266" t="s">
        <v>3910</v>
      </c>
      <c r="E266" t="s">
        <v>3911</v>
      </c>
      <c r="F266" t="s">
        <v>3850</v>
      </c>
      <c r="G266" t="s">
        <v>4</v>
      </c>
      <c r="H266" t="s">
        <v>4</v>
      </c>
      <c r="I266" t="s">
        <v>3689</v>
      </c>
      <c r="J266" t="s">
        <v>4</v>
      </c>
      <c r="K266" t="s">
        <v>3951</v>
      </c>
      <c r="L266" t="s">
        <v>3983</v>
      </c>
      <c r="M266" t="s">
        <v>3984</v>
      </c>
      <c r="N266" t="s">
        <v>694</v>
      </c>
    </row>
    <row r="267" spans="1:14" ht="11.25" customHeight="1" x14ac:dyDescent="0.15">
      <c r="A267" t="s">
        <v>3627</v>
      </c>
      <c r="B267" t="s">
        <v>1</v>
      </c>
      <c r="C267" t="s">
        <v>4189</v>
      </c>
      <c r="D267" t="s">
        <v>4190</v>
      </c>
      <c r="E267" t="s">
        <v>4191</v>
      </c>
      <c r="F267" t="s">
        <v>4043</v>
      </c>
      <c r="G267" t="s">
        <v>4</v>
      </c>
      <c r="H267" t="s">
        <v>4</v>
      </c>
      <c r="I267" t="s">
        <v>3716</v>
      </c>
      <c r="J267" t="s">
        <v>4</v>
      </c>
      <c r="K267" t="s">
        <v>3951</v>
      </c>
      <c r="L267" t="s">
        <v>3994</v>
      </c>
      <c r="M267" t="s">
        <v>3995</v>
      </c>
      <c r="N267" t="s">
        <v>694</v>
      </c>
    </row>
    <row r="268" spans="1:14" ht="11.25" customHeight="1" x14ac:dyDescent="0.15">
      <c r="A268" t="s">
        <v>3627</v>
      </c>
      <c r="B268" t="s">
        <v>1</v>
      </c>
      <c r="C268" t="s">
        <v>4192</v>
      </c>
      <c r="D268" t="s">
        <v>4193</v>
      </c>
      <c r="E268" t="s">
        <v>4194</v>
      </c>
      <c r="F268" t="s">
        <v>4043</v>
      </c>
      <c r="G268" t="s">
        <v>4</v>
      </c>
      <c r="H268" t="s">
        <v>4</v>
      </c>
      <c r="I268" t="s">
        <v>3716</v>
      </c>
      <c r="J268" t="s">
        <v>4</v>
      </c>
      <c r="K268" t="s">
        <v>3951</v>
      </c>
      <c r="L268" t="s">
        <v>3994</v>
      </c>
      <c r="M268" t="s">
        <v>3995</v>
      </c>
      <c r="N268" t="s">
        <v>694</v>
      </c>
    </row>
    <row r="269" spans="1:14" ht="11.25" customHeight="1" x14ac:dyDescent="0.15">
      <c r="A269" t="s">
        <v>3627</v>
      </c>
      <c r="B269" t="s">
        <v>1</v>
      </c>
      <c r="C269" t="s">
        <v>4195</v>
      </c>
      <c r="D269" t="s">
        <v>4196</v>
      </c>
      <c r="E269" t="s">
        <v>4197</v>
      </c>
      <c r="F269" t="s">
        <v>3781</v>
      </c>
      <c r="G269" t="s">
        <v>4</v>
      </c>
      <c r="H269" t="s">
        <v>4</v>
      </c>
      <c r="I269" t="s">
        <v>3744</v>
      </c>
      <c r="J269" t="s">
        <v>4</v>
      </c>
      <c r="K269" t="s">
        <v>3951</v>
      </c>
      <c r="L269" t="s">
        <v>3971</v>
      </c>
      <c r="M269" t="s">
        <v>3975</v>
      </c>
      <c r="N269" t="s">
        <v>694</v>
      </c>
    </row>
    <row r="270" spans="1:14" ht="11.25" customHeight="1" x14ac:dyDescent="0.15">
      <c r="A270" t="s">
        <v>3627</v>
      </c>
      <c r="B270" t="s">
        <v>1</v>
      </c>
      <c r="C270" t="s">
        <v>3918</v>
      </c>
      <c r="D270" t="s">
        <v>3919</v>
      </c>
      <c r="E270" t="s">
        <v>3920</v>
      </c>
      <c r="F270" t="s">
        <v>3921</v>
      </c>
      <c r="G270" t="s">
        <v>4</v>
      </c>
      <c r="H270" t="s">
        <v>4</v>
      </c>
      <c r="I270" t="s">
        <v>3716</v>
      </c>
      <c r="J270" t="s">
        <v>4</v>
      </c>
      <c r="K270" t="s">
        <v>3951</v>
      </c>
      <c r="L270" t="s">
        <v>3994</v>
      </c>
      <c r="M270" t="s">
        <v>3995</v>
      </c>
      <c r="N270" t="s">
        <v>694</v>
      </c>
    </row>
    <row r="271" spans="1:14" ht="11.25" customHeight="1" x14ac:dyDescent="0.15">
      <c r="A271" t="s">
        <v>3627</v>
      </c>
      <c r="B271" t="s">
        <v>1</v>
      </c>
      <c r="C271" t="s">
        <v>4198</v>
      </c>
      <c r="D271" t="s">
        <v>4199</v>
      </c>
      <c r="E271" t="s">
        <v>4200</v>
      </c>
      <c r="F271" t="s">
        <v>4201</v>
      </c>
      <c r="G271" t="s">
        <v>4202</v>
      </c>
      <c r="H271" t="s">
        <v>4</v>
      </c>
      <c r="I271" t="s">
        <v>3647</v>
      </c>
      <c r="J271" t="s">
        <v>4</v>
      </c>
      <c r="K271" t="s">
        <v>3951</v>
      </c>
      <c r="L271" t="s">
        <v>3994</v>
      </c>
      <c r="M271" t="s">
        <v>3995</v>
      </c>
      <c r="N271" t="s">
        <v>694</v>
      </c>
    </row>
    <row r="272" spans="1:14" ht="11.25" customHeight="1" x14ac:dyDescent="0.15">
      <c r="A272" t="s">
        <v>3627</v>
      </c>
      <c r="B272" t="s">
        <v>1</v>
      </c>
      <c r="C272" t="s">
        <v>4203</v>
      </c>
      <c r="D272" t="s">
        <v>4204</v>
      </c>
      <c r="E272" t="s">
        <v>4205</v>
      </c>
      <c r="F272" t="s">
        <v>3993</v>
      </c>
      <c r="G272" t="s">
        <v>4</v>
      </c>
      <c r="H272" t="s">
        <v>4</v>
      </c>
      <c r="I272" t="s">
        <v>3767</v>
      </c>
      <c r="J272" t="s">
        <v>4</v>
      </c>
      <c r="K272" t="s">
        <v>3951</v>
      </c>
      <c r="L272" t="s">
        <v>3994</v>
      </c>
      <c r="M272" t="s">
        <v>3995</v>
      </c>
      <c r="N272" t="s">
        <v>694</v>
      </c>
    </row>
    <row r="273" spans="1:14" ht="11.25" customHeight="1" x14ac:dyDescent="0.15">
      <c r="A273" t="s">
        <v>3627</v>
      </c>
      <c r="B273" t="s">
        <v>1</v>
      </c>
      <c r="C273" t="s">
        <v>4206</v>
      </c>
      <c r="D273" t="s">
        <v>4207</v>
      </c>
      <c r="E273" t="s">
        <v>4208</v>
      </c>
      <c r="F273" t="s">
        <v>3631</v>
      </c>
      <c r="G273" t="s">
        <v>4</v>
      </c>
      <c r="H273" t="s">
        <v>4</v>
      </c>
      <c r="I273" t="s">
        <v>4209</v>
      </c>
      <c r="J273" t="s">
        <v>4</v>
      </c>
      <c r="K273" t="s">
        <v>3951</v>
      </c>
      <c r="L273" t="s">
        <v>3994</v>
      </c>
      <c r="M273" t="s">
        <v>3995</v>
      </c>
      <c r="N273" t="s">
        <v>694</v>
      </c>
    </row>
    <row r="274" spans="1:14" ht="11.25" customHeight="1" x14ac:dyDescent="0.15">
      <c r="A274" t="s">
        <v>3627</v>
      </c>
      <c r="B274" t="s">
        <v>1</v>
      </c>
      <c r="C274" t="s">
        <v>3948</v>
      </c>
      <c r="D274" t="s">
        <v>3949</v>
      </c>
      <c r="E274" t="s">
        <v>3950</v>
      </c>
      <c r="F274" t="s">
        <v>3844</v>
      </c>
      <c r="G274" t="s">
        <v>4</v>
      </c>
      <c r="H274" t="s">
        <v>4</v>
      </c>
      <c r="I274" t="s">
        <v>3639</v>
      </c>
      <c r="J274" t="s">
        <v>4</v>
      </c>
      <c r="K274" t="s">
        <v>3951</v>
      </c>
      <c r="L274" t="s">
        <v>4135</v>
      </c>
      <c r="M274" t="s">
        <v>4136</v>
      </c>
      <c r="N274" t="s">
        <v>694</v>
      </c>
    </row>
    <row r="275" spans="1:14" ht="11.25" customHeight="1" x14ac:dyDescent="0.15">
      <c r="A275" t="s">
        <v>3627</v>
      </c>
      <c r="B275" t="s">
        <v>1</v>
      </c>
      <c r="C275" t="s">
        <v>4210</v>
      </c>
      <c r="D275" t="s">
        <v>4211</v>
      </c>
      <c r="E275" t="s">
        <v>4212</v>
      </c>
      <c r="F275" t="s">
        <v>3682</v>
      </c>
      <c r="G275" t="s">
        <v>4</v>
      </c>
      <c r="H275" t="s">
        <v>4</v>
      </c>
      <c r="I275" t="s">
        <v>3632</v>
      </c>
      <c r="J275" t="s">
        <v>4</v>
      </c>
      <c r="K275" t="s">
        <v>4213</v>
      </c>
      <c r="L275" t="s">
        <v>4214</v>
      </c>
      <c r="M275" t="s">
        <v>4215</v>
      </c>
      <c r="N275" t="s">
        <v>695</v>
      </c>
    </row>
    <row r="276" spans="1:14" ht="11.25" customHeight="1" x14ac:dyDescent="0.15">
      <c r="A276" t="s">
        <v>3627</v>
      </c>
      <c r="B276" t="s">
        <v>1</v>
      </c>
      <c r="C276" t="s">
        <v>4216</v>
      </c>
      <c r="D276" t="s">
        <v>4217</v>
      </c>
      <c r="E276" t="s">
        <v>4218</v>
      </c>
      <c r="F276" t="s">
        <v>3693</v>
      </c>
      <c r="G276" t="s">
        <v>4</v>
      </c>
      <c r="H276" t="s">
        <v>4</v>
      </c>
      <c r="I276" t="s">
        <v>4219</v>
      </c>
      <c r="J276" t="s">
        <v>4</v>
      </c>
      <c r="K276" t="s">
        <v>4213</v>
      </c>
      <c r="L276" t="s">
        <v>4214</v>
      </c>
      <c r="M276" t="s">
        <v>4215</v>
      </c>
      <c r="N276" t="s">
        <v>695</v>
      </c>
    </row>
    <row r="277" spans="1:14" ht="11.25" customHeight="1" x14ac:dyDescent="0.15">
      <c r="A277" t="s">
        <v>3627</v>
      </c>
      <c r="B277" t="s">
        <v>1</v>
      </c>
      <c r="C277" t="s">
        <v>3666</v>
      </c>
      <c r="D277" t="s">
        <v>3667</v>
      </c>
      <c r="E277" t="s">
        <v>3668</v>
      </c>
      <c r="F277" t="s">
        <v>3669</v>
      </c>
      <c r="G277" t="s">
        <v>4</v>
      </c>
      <c r="H277" t="s">
        <v>4</v>
      </c>
      <c r="I277" t="s">
        <v>3670</v>
      </c>
      <c r="J277" t="s">
        <v>4</v>
      </c>
      <c r="K277" t="s">
        <v>4213</v>
      </c>
      <c r="L277" t="s">
        <v>4214</v>
      </c>
      <c r="M277" t="s">
        <v>4215</v>
      </c>
      <c r="N277" t="s">
        <v>695</v>
      </c>
    </row>
    <row r="278" spans="1:14" ht="11.25" customHeight="1" x14ac:dyDescent="0.15">
      <c r="A278" t="s">
        <v>3627</v>
      </c>
      <c r="B278" t="s">
        <v>1</v>
      </c>
      <c r="C278" t="s">
        <v>4220</v>
      </c>
      <c r="D278" t="s">
        <v>4221</v>
      </c>
      <c r="E278" t="s">
        <v>4222</v>
      </c>
      <c r="F278" t="s">
        <v>3758</v>
      </c>
      <c r="G278" t="s">
        <v>4</v>
      </c>
      <c r="H278" t="s">
        <v>4</v>
      </c>
      <c r="I278" t="s">
        <v>4223</v>
      </c>
      <c r="J278" t="s">
        <v>4</v>
      </c>
      <c r="K278" t="s">
        <v>4213</v>
      </c>
      <c r="L278" t="s">
        <v>4214</v>
      </c>
      <c r="M278" t="s">
        <v>4215</v>
      </c>
      <c r="N278" t="s">
        <v>695</v>
      </c>
    </row>
    <row r="279" spans="1:14" ht="11.25" customHeight="1" x14ac:dyDescent="0.15">
      <c r="A279" t="s">
        <v>3627</v>
      </c>
      <c r="B279" t="s">
        <v>1</v>
      </c>
      <c r="C279" t="s">
        <v>3690</v>
      </c>
      <c r="D279" t="s">
        <v>3691</v>
      </c>
      <c r="E279" t="s">
        <v>3692</v>
      </c>
      <c r="F279" t="s">
        <v>3693</v>
      </c>
      <c r="G279" t="s">
        <v>3694</v>
      </c>
      <c r="H279" t="s">
        <v>4</v>
      </c>
      <c r="I279" t="s">
        <v>4224</v>
      </c>
      <c r="J279" t="s">
        <v>4</v>
      </c>
      <c r="K279" t="s">
        <v>4225</v>
      </c>
      <c r="L279" t="s">
        <v>4226</v>
      </c>
      <c r="M279" t="s">
        <v>4227</v>
      </c>
      <c r="N279" t="s">
        <v>695</v>
      </c>
    </row>
    <row r="280" spans="1:14" ht="11.25" customHeight="1" x14ac:dyDescent="0.15">
      <c r="A280" t="s">
        <v>3627</v>
      </c>
      <c r="B280" t="s">
        <v>1</v>
      </c>
      <c r="C280" t="s">
        <v>3711</v>
      </c>
      <c r="D280" t="s">
        <v>3712</v>
      </c>
      <c r="E280" t="s">
        <v>3713</v>
      </c>
      <c r="F280" t="s">
        <v>3714</v>
      </c>
      <c r="G280" t="s">
        <v>4</v>
      </c>
      <c r="H280" t="s">
        <v>4</v>
      </c>
      <c r="I280" t="s">
        <v>3715</v>
      </c>
      <c r="J280" t="s">
        <v>4</v>
      </c>
      <c r="K280" t="s">
        <v>4213</v>
      </c>
      <c r="L280" t="s">
        <v>4214</v>
      </c>
      <c r="M280" t="s">
        <v>4215</v>
      </c>
      <c r="N280" t="s">
        <v>695</v>
      </c>
    </row>
    <row r="281" spans="1:14" ht="11.25" customHeight="1" x14ac:dyDescent="0.15">
      <c r="A281" t="s">
        <v>3627</v>
      </c>
      <c r="B281" t="s">
        <v>1</v>
      </c>
      <c r="C281" t="s">
        <v>3711</v>
      </c>
      <c r="D281" t="s">
        <v>3712</v>
      </c>
      <c r="E281" t="s">
        <v>3713</v>
      </c>
      <c r="F281" t="s">
        <v>3714</v>
      </c>
      <c r="G281" t="s">
        <v>4</v>
      </c>
      <c r="H281" t="s">
        <v>4</v>
      </c>
      <c r="I281" t="s">
        <v>3716</v>
      </c>
      <c r="J281" t="s">
        <v>4</v>
      </c>
      <c r="K281" t="s">
        <v>4213</v>
      </c>
      <c r="L281" t="s">
        <v>4214</v>
      </c>
      <c r="M281" t="s">
        <v>4215</v>
      </c>
      <c r="N281" t="s">
        <v>695</v>
      </c>
    </row>
    <row r="282" spans="1:14" ht="11.25" customHeight="1" x14ac:dyDescent="0.15">
      <c r="A282" t="s">
        <v>3627</v>
      </c>
      <c r="B282" t="s">
        <v>1</v>
      </c>
      <c r="C282" t="s">
        <v>3711</v>
      </c>
      <c r="D282" t="s">
        <v>3712</v>
      </c>
      <c r="E282" t="s">
        <v>3713</v>
      </c>
      <c r="F282" t="s">
        <v>3714</v>
      </c>
      <c r="G282" t="s">
        <v>4</v>
      </c>
      <c r="H282" t="s">
        <v>4</v>
      </c>
      <c r="I282" t="s">
        <v>3647</v>
      </c>
      <c r="J282" t="s">
        <v>4</v>
      </c>
      <c r="K282" t="s">
        <v>4213</v>
      </c>
      <c r="L282" t="s">
        <v>4214</v>
      </c>
      <c r="M282" t="s">
        <v>4215</v>
      </c>
      <c r="N282" t="s">
        <v>695</v>
      </c>
    </row>
    <row r="283" spans="1:14" ht="11.25" customHeight="1" x14ac:dyDescent="0.15">
      <c r="A283" t="s">
        <v>3627</v>
      </c>
      <c r="B283" t="s">
        <v>1</v>
      </c>
      <c r="C283" t="s">
        <v>3980</v>
      </c>
      <c r="D283" t="s">
        <v>3981</v>
      </c>
      <c r="E283" t="s">
        <v>3982</v>
      </c>
      <c r="F283" t="s">
        <v>1685</v>
      </c>
      <c r="G283" t="s">
        <v>4</v>
      </c>
      <c r="H283" t="s">
        <v>4</v>
      </c>
      <c r="I283" t="s">
        <v>3639</v>
      </c>
      <c r="J283" t="s">
        <v>4</v>
      </c>
      <c r="K283" t="s">
        <v>4228</v>
      </c>
      <c r="L283" t="s">
        <v>4229</v>
      </c>
      <c r="M283" t="s">
        <v>4230</v>
      </c>
      <c r="N283" t="s">
        <v>695</v>
      </c>
    </row>
    <row r="284" spans="1:14" ht="11.25" customHeight="1" x14ac:dyDescent="0.15">
      <c r="A284" t="s">
        <v>3627</v>
      </c>
      <c r="B284" t="s">
        <v>1</v>
      </c>
      <c r="C284" t="s">
        <v>3752</v>
      </c>
      <c r="D284" t="s">
        <v>32</v>
      </c>
      <c r="E284" t="s">
        <v>35</v>
      </c>
      <c r="F284" t="s">
        <v>37</v>
      </c>
      <c r="G284" t="s">
        <v>4</v>
      </c>
      <c r="H284" t="s">
        <v>4</v>
      </c>
      <c r="I284" t="s">
        <v>3632</v>
      </c>
      <c r="J284" t="s">
        <v>4</v>
      </c>
      <c r="K284" t="s">
        <v>4213</v>
      </c>
      <c r="L284" t="s">
        <v>4214</v>
      </c>
      <c r="M284" t="s">
        <v>4215</v>
      </c>
      <c r="N284" t="s">
        <v>695</v>
      </c>
    </row>
    <row r="285" spans="1:14" ht="11.25" customHeight="1" x14ac:dyDescent="0.15">
      <c r="A285" t="s">
        <v>3627</v>
      </c>
      <c r="B285" t="s">
        <v>1</v>
      </c>
      <c r="C285" t="s">
        <v>3752</v>
      </c>
      <c r="D285" t="s">
        <v>32</v>
      </c>
      <c r="E285" t="s">
        <v>35</v>
      </c>
      <c r="F285" t="s">
        <v>37</v>
      </c>
      <c r="G285" t="s">
        <v>4</v>
      </c>
      <c r="H285" t="s">
        <v>4</v>
      </c>
      <c r="I285" t="s">
        <v>3996</v>
      </c>
      <c r="J285" t="s">
        <v>4</v>
      </c>
      <c r="K285" t="s">
        <v>4213</v>
      </c>
      <c r="L285" t="s">
        <v>4214</v>
      </c>
      <c r="M285" t="s">
        <v>4215</v>
      </c>
      <c r="N285" t="s">
        <v>695</v>
      </c>
    </row>
    <row r="286" spans="1:14" ht="11.25" customHeight="1" x14ac:dyDescent="0.15">
      <c r="A286" t="s">
        <v>3627</v>
      </c>
      <c r="B286" t="s">
        <v>1</v>
      </c>
      <c r="C286" t="s">
        <v>3752</v>
      </c>
      <c r="D286" t="s">
        <v>32</v>
      </c>
      <c r="E286" t="s">
        <v>35</v>
      </c>
      <c r="F286" t="s">
        <v>37</v>
      </c>
      <c r="G286" t="s">
        <v>4</v>
      </c>
      <c r="H286" t="s">
        <v>4</v>
      </c>
      <c r="I286" t="s">
        <v>3716</v>
      </c>
      <c r="J286" t="s">
        <v>4</v>
      </c>
      <c r="K286" t="s">
        <v>4213</v>
      </c>
      <c r="L286" t="s">
        <v>4214</v>
      </c>
      <c r="M286" t="s">
        <v>4215</v>
      </c>
      <c r="N286" t="s">
        <v>695</v>
      </c>
    </row>
    <row r="287" spans="1:14" ht="11.25" customHeight="1" x14ac:dyDescent="0.15">
      <c r="A287" t="s">
        <v>3627</v>
      </c>
      <c r="B287" t="s">
        <v>1</v>
      </c>
      <c r="C287" t="s">
        <v>3752</v>
      </c>
      <c r="D287" t="s">
        <v>32</v>
      </c>
      <c r="E287" t="s">
        <v>35</v>
      </c>
      <c r="F287" t="s">
        <v>37</v>
      </c>
      <c r="G287" t="s">
        <v>4</v>
      </c>
      <c r="H287" t="s">
        <v>4</v>
      </c>
      <c r="I287" t="s">
        <v>3767</v>
      </c>
      <c r="J287" t="s">
        <v>4</v>
      </c>
      <c r="K287" t="s">
        <v>4213</v>
      </c>
      <c r="L287" t="s">
        <v>4214</v>
      </c>
      <c r="M287" t="s">
        <v>4215</v>
      </c>
      <c r="N287" t="s">
        <v>695</v>
      </c>
    </row>
    <row r="288" spans="1:14" ht="11.25" customHeight="1" x14ac:dyDescent="0.15">
      <c r="A288" t="s">
        <v>3627</v>
      </c>
      <c r="B288" t="s">
        <v>1</v>
      </c>
      <c r="C288" t="s">
        <v>3752</v>
      </c>
      <c r="D288" t="s">
        <v>32</v>
      </c>
      <c r="E288" t="s">
        <v>35</v>
      </c>
      <c r="F288" t="s">
        <v>37</v>
      </c>
      <c r="G288" t="s">
        <v>4</v>
      </c>
      <c r="H288" t="s">
        <v>4</v>
      </c>
      <c r="I288" t="s">
        <v>3647</v>
      </c>
      <c r="J288" t="s">
        <v>4</v>
      </c>
      <c r="K288" t="s">
        <v>4213</v>
      </c>
      <c r="L288" t="s">
        <v>4214</v>
      </c>
      <c r="M288" t="s">
        <v>4215</v>
      </c>
      <c r="N288" t="s">
        <v>695</v>
      </c>
    </row>
    <row r="289" spans="1:14" ht="11.25" customHeight="1" x14ac:dyDescent="0.15">
      <c r="A289" t="s">
        <v>3627</v>
      </c>
      <c r="B289" t="s">
        <v>1</v>
      </c>
      <c r="C289" t="s">
        <v>3999</v>
      </c>
      <c r="D289" t="s">
        <v>4000</v>
      </c>
      <c r="E289" t="s">
        <v>4001</v>
      </c>
      <c r="F289" t="s">
        <v>3844</v>
      </c>
      <c r="G289" t="s">
        <v>4</v>
      </c>
      <c r="H289" t="s">
        <v>4</v>
      </c>
      <c r="I289" t="s">
        <v>3632</v>
      </c>
      <c r="J289" t="s">
        <v>4</v>
      </c>
      <c r="K289" t="s">
        <v>4213</v>
      </c>
      <c r="L289" t="s">
        <v>4214</v>
      </c>
      <c r="M289" t="s">
        <v>4215</v>
      </c>
      <c r="N289" t="s">
        <v>695</v>
      </c>
    </row>
    <row r="290" spans="1:14" ht="11.25" customHeight="1" x14ac:dyDescent="0.15">
      <c r="A290" t="s">
        <v>3627</v>
      </c>
      <c r="B290" t="s">
        <v>1</v>
      </c>
      <c r="C290" t="s">
        <v>3999</v>
      </c>
      <c r="D290" t="s">
        <v>4000</v>
      </c>
      <c r="E290" t="s">
        <v>4001</v>
      </c>
      <c r="F290" t="s">
        <v>3844</v>
      </c>
      <c r="G290" t="s">
        <v>4</v>
      </c>
      <c r="H290" t="s">
        <v>4</v>
      </c>
      <c r="I290" t="s">
        <v>4004</v>
      </c>
      <c r="J290" t="s">
        <v>4</v>
      </c>
      <c r="K290" t="s">
        <v>4213</v>
      </c>
      <c r="L290" t="s">
        <v>4214</v>
      </c>
      <c r="M290" t="s">
        <v>4215</v>
      </c>
      <c r="N290" t="s">
        <v>695</v>
      </c>
    </row>
    <row r="291" spans="1:14" ht="11.25" customHeight="1" x14ac:dyDescent="0.15">
      <c r="A291" t="s">
        <v>3627</v>
      </c>
      <c r="B291" t="s">
        <v>1</v>
      </c>
      <c r="C291" t="s">
        <v>3999</v>
      </c>
      <c r="D291" t="s">
        <v>4000</v>
      </c>
      <c r="E291" t="s">
        <v>4001</v>
      </c>
      <c r="F291" t="s">
        <v>3844</v>
      </c>
      <c r="G291" t="s">
        <v>4</v>
      </c>
      <c r="H291" t="s">
        <v>4</v>
      </c>
      <c r="I291" t="s">
        <v>3767</v>
      </c>
      <c r="J291" t="s">
        <v>4</v>
      </c>
      <c r="K291" t="s">
        <v>4213</v>
      </c>
      <c r="L291" t="s">
        <v>4214</v>
      </c>
      <c r="M291" t="s">
        <v>4215</v>
      </c>
      <c r="N291" t="s">
        <v>695</v>
      </c>
    </row>
    <row r="292" spans="1:14" ht="11.25" customHeight="1" x14ac:dyDescent="0.15">
      <c r="A292" t="s">
        <v>3627</v>
      </c>
      <c r="B292" t="s">
        <v>1</v>
      </c>
      <c r="C292" t="s">
        <v>4231</v>
      </c>
      <c r="D292" t="s">
        <v>4232</v>
      </c>
      <c r="E292" t="s">
        <v>4233</v>
      </c>
      <c r="F292" t="s">
        <v>3826</v>
      </c>
      <c r="G292" t="s">
        <v>4234</v>
      </c>
      <c r="H292" t="s">
        <v>4</v>
      </c>
      <c r="I292" t="s">
        <v>4235</v>
      </c>
      <c r="J292" t="s">
        <v>4</v>
      </c>
      <c r="K292" t="s">
        <v>4228</v>
      </c>
      <c r="L292" t="s">
        <v>4236</v>
      </c>
      <c r="M292" t="s">
        <v>4237</v>
      </c>
      <c r="N292" t="s">
        <v>695</v>
      </c>
    </row>
    <row r="293" spans="1:14" ht="11.25" customHeight="1" x14ac:dyDescent="0.15">
      <c r="A293" t="s">
        <v>3627</v>
      </c>
      <c r="B293" t="s">
        <v>1</v>
      </c>
      <c r="C293" t="s">
        <v>4015</v>
      </c>
      <c r="D293" t="s">
        <v>4016</v>
      </c>
      <c r="E293" t="s">
        <v>4017</v>
      </c>
      <c r="F293" t="s">
        <v>4018</v>
      </c>
      <c r="G293" t="s">
        <v>4</v>
      </c>
      <c r="H293" t="s">
        <v>4</v>
      </c>
      <c r="I293" t="s">
        <v>3639</v>
      </c>
      <c r="J293" t="s">
        <v>4</v>
      </c>
      <c r="K293" t="s">
        <v>4213</v>
      </c>
      <c r="L293" t="s">
        <v>4214</v>
      </c>
      <c r="M293" t="s">
        <v>4215</v>
      </c>
      <c r="N293" t="s">
        <v>695</v>
      </c>
    </row>
    <row r="294" spans="1:14" ht="11.25" customHeight="1" x14ac:dyDescent="0.15">
      <c r="A294" t="s">
        <v>3627</v>
      </c>
      <c r="B294" t="s">
        <v>1</v>
      </c>
      <c r="C294" t="s">
        <v>4021</v>
      </c>
      <c r="D294" t="s">
        <v>4022</v>
      </c>
      <c r="E294" t="s">
        <v>4023</v>
      </c>
      <c r="F294" t="s">
        <v>4024</v>
      </c>
      <c r="G294" t="s">
        <v>4</v>
      </c>
      <c r="H294" t="s">
        <v>4</v>
      </c>
      <c r="I294" t="s">
        <v>4025</v>
      </c>
      <c r="J294" t="s">
        <v>4</v>
      </c>
      <c r="K294" t="s">
        <v>4228</v>
      </c>
      <c r="L294" t="s">
        <v>4236</v>
      </c>
      <c r="M294" t="s">
        <v>4237</v>
      </c>
      <c r="N294" t="s">
        <v>695</v>
      </c>
    </row>
    <row r="295" spans="1:14" ht="11.25" customHeight="1" x14ac:dyDescent="0.15">
      <c r="A295" t="s">
        <v>3627</v>
      </c>
      <c r="B295" t="s">
        <v>1</v>
      </c>
      <c r="C295" t="s">
        <v>4028</v>
      </c>
      <c r="D295" t="s">
        <v>4029</v>
      </c>
      <c r="E295" t="s">
        <v>4030</v>
      </c>
      <c r="F295" t="s">
        <v>3674</v>
      </c>
      <c r="G295" t="s">
        <v>4</v>
      </c>
      <c r="H295" t="s">
        <v>4</v>
      </c>
      <c r="I295" t="s">
        <v>3684</v>
      </c>
      <c r="J295" t="s">
        <v>4</v>
      </c>
      <c r="K295" t="s">
        <v>4213</v>
      </c>
      <c r="L295" t="s">
        <v>4238</v>
      </c>
      <c r="M295" t="s">
        <v>4239</v>
      </c>
      <c r="N295" t="s">
        <v>695</v>
      </c>
    </row>
    <row r="296" spans="1:14" ht="11.25" customHeight="1" x14ac:dyDescent="0.15">
      <c r="A296" t="s">
        <v>3627</v>
      </c>
      <c r="B296" t="s">
        <v>1</v>
      </c>
      <c r="C296" t="s">
        <v>4031</v>
      </c>
      <c r="D296" t="s">
        <v>4032</v>
      </c>
      <c r="E296" t="s">
        <v>4033</v>
      </c>
      <c r="F296" t="s">
        <v>4034</v>
      </c>
      <c r="G296" t="s">
        <v>4</v>
      </c>
      <c r="H296" t="s">
        <v>4</v>
      </c>
      <c r="I296" t="s">
        <v>3639</v>
      </c>
      <c r="J296" t="s">
        <v>4</v>
      </c>
      <c r="K296" t="s">
        <v>4213</v>
      </c>
      <c r="L296" t="s">
        <v>4214</v>
      </c>
      <c r="M296" t="s">
        <v>4215</v>
      </c>
      <c r="N296" t="s">
        <v>695</v>
      </c>
    </row>
    <row r="297" spans="1:14" ht="11.25" customHeight="1" x14ac:dyDescent="0.15">
      <c r="A297" t="s">
        <v>3627</v>
      </c>
      <c r="B297" t="s">
        <v>1</v>
      </c>
      <c r="C297" t="s">
        <v>4040</v>
      </c>
      <c r="D297" t="s">
        <v>4041</v>
      </c>
      <c r="E297" t="s">
        <v>4042</v>
      </c>
      <c r="F297" t="s">
        <v>4043</v>
      </c>
      <c r="G297" t="s">
        <v>4</v>
      </c>
      <c r="H297" t="s">
        <v>4</v>
      </c>
      <c r="I297" t="s">
        <v>3760</v>
      </c>
      <c r="J297" t="s">
        <v>4</v>
      </c>
      <c r="K297" t="s">
        <v>4228</v>
      </c>
      <c r="L297" t="s">
        <v>4229</v>
      </c>
      <c r="M297" t="s">
        <v>4230</v>
      </c>
      <c r="N297" t="s">
        <v>695</v>
      </c>
    </row>
    <row r="298" spans="1:14" ht="11.25" customHeight="1" x14ac:dyDescent="0.15">
      <c r="A298" t="s">
        <v>3627</v>
      </c>
      <c r="B298" t="s">
        <v>1</v>
      </c>
      <c r="C298" t="s">
        <v>4044</v>
      </c>
      <c r="D298" t="s">
        <v>4045</v>
      </c>
      <c r="E298" t="s">
        <v>4046</v>
      </c>
      <c r="F298" t="s">
        <v>3682</v>
      </c>
      <c r="G298" t="s">
        <v>4047</v>
      </c>
      <c r="H298" t="s">
        <v>4</v>
      </c>
      <c r="I298" t="s">
        <v>4047</v>
      </c>
      <c r="J298" t="s">
        <v>4</v>
      </c>
      <c r="K298" t="s">
        <v>4225</v>
      </c>
      <c r="L298" t="s">
        <v>4226</v>
      </c>
      <c r="M298" t="s">
        <v>4227</v>
      </c>
      <c r="N298" t="s">
        <v>695</v>
      </c>
    </row>
    <row r="299" spans="1:14" ht="11.25" customHeight="1" x14ac:dyDescent="0.15">
      <c r="A299" t="s">
        <v>3627</v>
      </c>
      <c r="B299" t="s">
        <v>1</v>
      </c>
      <c r="C299" t="s">
        <v>4049</v>
      </c>
      <c r="D299" t="s">
        <v>4050</v>
      </c>
      <c r="E299" t="s">
        <v>4051</v>
      </c>
      <c r="F299" t="s">
        <v>4052</v>
      </c>
      <c r="G299" t="s">
        <v>4</v>
      </c>
      <c r="H299" t="s">
        <v>4</v>
      </c>
      <c r="I299" t="s">
        <v>3767</v>
      </c>
      <c r="J299" t="s">
        <v>4</v>
      </c>
      <c r="K299" t="s">
        <v>4228</v>
      </c>
      <c r="L299" t="s">
        <v>4229</v>
      </c>
      <c r="M299" t="s">
        <v>4230</v>
      </c>
      <c r="N299" t="s">
        <v>695</v>
      </c>
    </row>
    <row r="300" spans="1:14" ht="11.25" customHeight="1" x14ac:dyDescent="0.15">
      <c r="A300" t="s">
        <v>3627</v>
      </c>
      <c r="B300" t="s">
        <v>1</v>
      </c>
      <c r="C300" t="s">
        <v>4240</v>
      </c>
      <c r="D300" t="s">
        <v>4241</v>
      </c>
      <c r="E300" t="s">
        <v>4242</v>
      </c>
      <c r="F300" t="s">
        <v>4243</v>
      </c>
      <c r="G300" t="s">
        <v>4</v>
      </c>
      <c r="H300" t="s">
        <v>4</v>
      </c>
      <c r="I300" t="s">
        <v>4244</v>
      </c>
      <c r="J300" t="s">
        <v>4</v>
      </c>
      <c r="K300" t="s">
        <v>4213</v>
      </c>
      <c r="L300" t="s">
        <v>4214</v>
      </c>
      <c r="M300" t="s">
        <v>4215</v>
      </c>
      <c r="N300" t="s">
        <v>695</v>
      </c>
    </row>
    <row r="301" spans="1:14" ht="11.25" customHeight="1" x14ac:dyDescent="0.15">
      <c r="A301" t="s">
        <v>3627</v>
      </c>
      <c r="B301" t="s">
        <v>1</v>
      </c>
      <c r="C301" t="s">
        <v>3763</v>
      </c>
      <c r="D301" t="s">
        <v>3764</v>
      </c>
      <c r="E301" t="s">
        <v>3765</v>
      </c>
      <c r="F301" t="s">
        <v>3766</v>
      </c>
      <c r="G301" t="s">
        <v>4</v>
      </c>
      <c r="H301" t="s">
        <v>4</v>
      </c>
      <c r="I301" t="s">
        <v>3767</v>
      </c>
      <c r="J301" t="s">
        <v>4</v>
      </c>
      <c r="K301" t="s">
        <v>4213</v>
      </c>
      <c r="L301" t="s">
        <v>4214</v>
      </c>
      <c r="M301" t="s">
        <v>4215</v>
      </c>
      <c r="N301" t="s">
        <v>695</v>
      </c>
    </row>
    <row r="302" spans="1:14" ht="11.25" customHeight="1" x14ac:dyDescent="0.15">
      <c r="A302" t="s">
        <v>3627</v>
      </c>
      <c r="B302" t="s">
        <v>1</v>
      </c>
      <c r="C302" t="s">
        <v>4055</v>
      </c>
      <c r="D302" t="s">
        <v>4056</v>
      </c>
      <c r="E302" t="s">
        <v>4057</v>
      </c>
      <c r="F302" t="s">
        <v>3993</v>
      </c>
      <c r="G302" t="s">
        <v>4</v>
      </c>
      <c r="H302" t="s">
        <v>4</v>
      </c>
      <c r="I302" t="s">
        <v>3767</v>
      </c>
      <c r="J302" t="s">
        <v>4</v>
      </c>
      <c r="K302" t="s">
        <v>4213</v>
      </c>
      <c r="L302" t="s">
        <v>4214</v>
      </c>
      <c r="M302" t="s">
        <v>4215</v>
      </c>
      <c r="N302" t="s">
        <v>695</v>
      </c>
    </row>
    <row r="303" spans="1:14" ht="11.25" customHeight="1" x14ac:dyDescent="0.15">
      <c r="A303" t="s">
        <v>3627</v>
      </c>
      <c r="B303" t="s">
        <v>1</v>
      </c>
      <c r="C303" t="s">
        <v>4058</v>
      </c>
      <c r="D303" t="s">
        <v>4059</v>
      </c>
      <c r="E303" t="s">
        <v>4060</v>
      </c>
      <c r="F303" t="s">
        <v>3721</v>
      </c>
      <c r="G303" t="s">
        <v>4061</v>
      </c>
      <c r="H303" t="s">
        <v>4</v>
      </c>
      <c r="I303" t="s">
        <v>3647</v>
      </c>
      <c r="J303" t="s">
        <v>4</v>
      </c>
      <c r="K303" t="s">
        <v>4213</v>
      </c>
      <c r="L303" t="s">
        <v>4238</v>
      </c>
      <c r="M303" t="s">
        <v>4239</v>
      </c>
      <c r="N303" t="s">
        <v>695</v>
      </c>
    </row>
    <row r="304" spans="1:14" ht="11.25" customHeight="1" x14ac:dyDescent="0.15">
      <c r="A304" t="s">
        <v>3627</v>
      </c>
      <c r="B304" t="s">
        <v>1</v>
      </c>
      <c r="C304" t="s">
        <v>4062</v>
      </c>
      <c r="D304" t="s">
        <v>4063</v>
      </c>
      <c r="E304" t="s">
        <v>4064</v>
      </c>
      <c r="F304" t="s">
        <v>3734</v>
      </c>
      <c r="G304" t="s">
        <v>4065</v>
      </c>
      <c r="H304" t="s">
        <v>4</v>
      </c>
      <c r="I304" t="s">
        <v>3639</v>
      </c>
      <c r="J304" t="s">
        <v>4</v>
      </c>
      <c r="K304" t="s">
        <v>4213</v>
      </c>
      <c r="L304" t="s">
        <v>4214</v>
      </c>
      <c r="M304" t="s">
        <v>4215</v>
      </c>
      <c r="N304" t="s">
        <v>695</v>
      </c>
    </row>
    <row r="305" spans="1:14" ht="11.25" customHeight="1" x14ac:dyDescent="0.15">
      <c r="A305" t="s">
        <v>3627</v>
      </c>
      <c r="B305" t="s">
        <v>1</v>
      </c>
      <c r="C305" t="s">
        <v>4066</v>
      </c>
      <c r="D305" t="s">
        <v>4067</v>
      </c>
      <c r="E305" t="s">
        <v>4068</v>
      </c>
      <c r="F305" t="s">
        <v>3682</v>
      </c>
      <c r="G305" t="s">
        <v>4</v>
      </c>
      <c r="H305" t="s">
        <v>4</v>
      </c>
      <c r="I305" t="s">
        <v>4245</v>
      </c>
      <c r="J305" t="s">
        <v>4</v>
      </c>
      <c r="K305" t="s">
        <v>4213</v>
      </c>
      <c r="L305" t="s">
        <v>4214</v>
      </c>
      <c r="M305" t="s">
        <v>4215</v>
      </c>
      <c r="N305" t="s">
        <v>695</v>
      </c>
    </row>
    <row r="306" spans="1:14" ht="11.25" customHeight="1" x14ac:dyDescent="0.15">
      <c r="A306" t="s">
        <v>3627</v>
      </c>
      <c r="B306" t="s">
        <v>1</v>
      </c>
      <c r="C306" t="s">
        <v>4070</v>
      </c>
      <c r="D306" t="s">
        <v>4071</v>
      </c>
      <c r="E306" t="s">
        <v>4072</v>
      </c>
      <c r="F306" t="s">
        <v>4039</v>
      </c>
      <c r="G306" t="s">
        <v>4</v>
      </c>
      <c r="H306" t="s">
        <v>4</v>
      </c>
      <c r="I306" t="s">
        <v>3716</v>
      </c>
      <c r="J306" t="s">
        <v>4</v>
      </c>
      <c r="K306" t="s">
        <v>4213</v>
      </c>
      <c r="L306" t="s">
        <v>4214</v>
      </c>
      <c r="M306" t="s">
        <v>4215</v>
      </c>
      <c r="N306" t="s">
        <v>695</v>
      </c>
    </row>
    <row r="307" spans="1:14" ht="11.25" customHeight="1" x14ac:dyDescent="0.15">
      <c r="A307" t="s">
        <v>3627</v>
      </c>
      <c r="B307" t="s">
        <v>1</v>
      </c>
      <c r="C307" t="s">
        <v>4246</v>
      </c>
      <c r="D307" t="s">
        <v>4247</v>
      </c>
      <c r="E307" t="s">
        <v>4248</v>
      </c>
      <c r="F307" t="s">
        <v>3721</v>
      </c>
      <c r="G307" t="s">
        <v>4</v>
      </c>
      <c r="H307" t="s">
        <v>4</v>
      </c>
      <c r="I307" t="s">
        <v>3647</v>
      </c>
      <c r="J307" t="s">
        <v>4</v>
      </c>
      <c r="K307" t="s">
        <v>4213</v>
      </c>
      <c r="L307" t="s">
        <v>4214</v>
      </c>
      <c r="M307" t="s">
        <v>4215</v>
      </c>
      <c r="N307" t="s">
        <v>695</v>
      </c>
    </row>
    <row r="308" spans="1:14" ht="11.25" customHeight="1" x14ac:dyDescent="0.15">
      <c r="A308" t="s">
        <v>3627</v>
      </c>
      <c r="B308" t="s">
        <v>1</v>
      </c>
      <c r="C308" t="s">
        <v>4075</v>
      </c>
      <c r="D308" t="s">
        <v>4076</v>
      </c>
      <c r="E308" t="s">
        <v>4077</v>
      </c>
      <c r="F308" t="s">
        <v>4078</v>
      </c>
      <c r="G308" t="s">
        <v>4</v>
      </c>
      <c r="H308" t="s">
        <v>4</v>
      </c>
      <c r="I308" t="s">
        <v>4079</v>
      </c>
      <c r="J308" t="s">
        <v>4</v>
      </c>
      <c r="K308" t="s">
        <v>4213</v>
      </c>
      <c r="L308" t="s">
        <v>4214</v>
      </c>
      <c r="M308" t="s">
        <v>4215</v>
      </c>
      <c r="N308" t="s">
        <v>695</v>
      </c>
    </row>
    <row r="309" spans="1:14" ht="11.25" customHeight="1" x14ac:dyDescent="0.15">
      <c r="A309" t="s">
        <v>3627</v>
      </c>
      <c r="B309" t="s">
        <v>1</v>
      </c>
      <c r="C309" t="s">
        <v>4082</v>
      </c>
      <c r="D309" t="s">
        <v>4083</v>
      </c>
      <c r="E309" t="s">
        <v>4084</v>
      </c>
      <c r="F309" t="s">
        <v>3631</v>
      </c>
      <c r="G309" t="s">
        <v>4</v>
      </c>
      <c r="H309" t="s">
        <v>4</v>
      </c>
      <c r="I309" t="s">
        <v>3632</v>
      </c>
      <c r="J309" t="s">
        <v>4</v>
      </c>
      <c r="K309" t="s">
        <v>4213</v>
      </c>
      <c r="L309" t="s">
        <v>4214</v>
      </c>
      <c r="M309" t="s">
        <v>4215</v>
      </c>
      <c r="N309" t="s">
        <v>695</v>
      </c>
    </row>
    <row r="310" spans="1:14" ht="11.25" customHeight="1" x14ac:dyDescent="0.15">
      <c r="A310" t="s">
        <v>3627</v>
      </c>
      <c r="B310" t="s">
        <v>1</v>
      </c>
      <c r="C310" t="s">
        <v>4085</v>
      </c>
      <c r="D310" t="s">
        <v>4086</v>
      </c>
      <c r="E310" t="s">
        <v>4087</v>
      </c>
      <c r="F310" t="s">
        <v>3862</v>
      </c>
      <c r="G310" t="s">
        <v>4</v>
      </c>
      <c r="H310" t="s">
        <v>4</v>
      </c>
      <c r="I310" t="s">
        <v>3647</v>
      </c>
      <c r="J310" t="s">
        <v>4</v>
      </c>
      <c r="K310" t="s">
        <v>4228</v>
      </c>
      <c r="L310" t="s">
        <v>4236</v>
      </c>
      <c r="M310" t="s">
        <v>4237</v>
      </c>
      <c r="N310" t="s">
        <v>695</v>
      </c>
    </row>
    <row r="311" spans="1:14" ht="11.25" customHeight="1" x14ac:dyDescent="0.15">
      <c r="A311" t="s">
        <v>3627</v>
      </c>
      <c r="B311" t="s">
        <v>1</v>
      </c>
      <c r="C311" t="s">
        <v>3783</v>
      </c>
      <c r="D311" t="s">
        <v>3784</v>
      </c>
      <c r="E311" t="s">
        <v>3785</v>
      </c>
      <c r="F311" t="s">
        <v>3786</v>
      </c>
      <c r="G311" t="s">
        <v>4</v>
      </c>
      <c r="H311" t="s">
        <v>4</v>
      </c>
      <c r="I311" t="s">
        <v>3632</v>
      </c>
      <c r="J311" t="s">
        <v>4</v>
      </c>
      <c r="K311" t="s">
        <v>4225</v>
      </c>
      <c r="L311" t="s">
        <v>4226</v>
      </c>
      <c r="M311" t="s">
        <v>4227</v>
      </c>
      <c r="N311" t="s">
        <v>695</v>
      </c>
    </row>
    <row r="312" spans="1:14" ht="11.25" customHeight="1" x14ac:dyDescent="0.15">
      <c r="A312" t="s">
        <v>3627</v>
      </c>
      <c r="B312" t="s">
        <v>1</v>
      </c>
      <c r="C312" t="s">
        <v>4092</v>
      </c>
      <c r="D312" t="s">
        <v>4093</v>
      </c>
      <c r="E312" t="s">
        <v>4094</v>
      </c>
      <c r="F312" t="s">
        <v>3669</v>
      </c>
      <c r="G312" t="s">
        <v>4095</v>
      </c>
      <c r="H312" t="s">
        <v>4</v>
      </c>
      <c r="I312" t="s">
        <v>4096</v>
      </c>
      <c r="J312" t="s">
        <v>4097</v>
      </c>
      <c r="K312" t="s">
        <v>4213</v>
      </c>
      <c r="L312" t="s">
        <v>4214</v>
      </c>
      <c r="M312" t="s">
        <v>4215</v>
      </c>
      <c r="N312" t="s">
        <v>695</v>
      </c>
    </row>
    <row r="313" spans="1:14" ht="11.25" customHeight="1" x14ac:dyDescent="0.15">
      <c r="A313" t="s">
        <v>3627</v>
      </c>
      <c r="B313" t="s">
        <v>1</v>
      </c>
      <c r="C313" t="s">
        <v>4092</v>
      </c>
      <c r="D313" t="s">
        <v>4093</v>
      </c>
      <c r="E313" t="s">
        <v>4094</v>
      </c>
      <c r="F313" t="s">
        <v>3669</v>
      </c>
      <c r="G313" t="s">
        <v>4095</v>
      </c>
      <c r="H313" t="s">
        <v>4</v>
      </c>
      <c r="I313" t="s">
        <v>4098</v>
      </c>
      <c r="J313" t="s">
        <v>4</v>
      </c>
      <c r="K313" t="s">
        <v>4213</v>
      </c>
      <c r="L313" t="s">
        <v>4214</v>
      </c>
      <c r="M313" t="s">
        <v>4215</v>
      </c>
      <c r="N313" t="s">
        <v>695</v>
      </c>
    </row>
    <row r="314" spans="1:14" ht="11.25" customHeight="1" x14ac:dyDescent="0.15">
      <c r="A314" t="s">
        <v>3627</v>
      </c>
      <c r="B314" t="s">
        <v>1</v>
      </c>
      <c r="C314" t="s">
        <v>4104</v>
      </c>
      <c r="D314" t="s">
        <v>4105</v>
      </c>
      <c r="E314" t="s">
        <v>4106</v>
      </c>
      <c r="F314" t="s">
        <v>4107</v>
      </c>
      <c r="G314" t="s">
        <v>4</v>
      </c>
      <c r="H314" t="s">
        <v>4</v>
      </c>
      <c r="I314" t="s">
        <v>3639</v>
      </c>
      <c r="J314" t="s">
        <v>4</v>
      </c>
      <c r="K314" t="s">
        <v>4213</v>
      </c>
      <c r="L314" t="s">
        <v>4214</v>
      </c>
      <c r="M314" t="s">
        <v>4215</v>
      </c>
      <c r="N314" t="s">
        <v>695</v>
      </c>
    </row>
    <row r="315" spans="1:14" ht="11.25" customHeight="1" x14ac:dyDescent="0.15">
      <c r="A315" t="s">
        <v>3627</v>
      </c>
      <c r="B315" t="s">
        <v>1</v>
      </c>
      <c r="C315" t="s">
        <v>4108</v>
      </c>
      <c r="D315" t="s">
        <v>4109</v>
      </c>
      <c r="E315" t="s">
        <v>4110</v>
      </c>
      <c r="F315" t="s">
        <v>3921</v>
      </c>
      <c r="G315" t="s">
        <v>4</v>
      </c>
      <c r="H315" t="s">
        <v>4</v>
      </c>
      <c r="I315" t="s">
        <v>3716</v>
      </c>
      <c r="J315" t="s">
        <v>4</v>
      </c>
      <c r="K315" t="s">
        <v>4213</v>
      </c>
      <c r="L315" t="s">
        <v>4214</v>
      </c>
      <c r="M315" t="s">
        <v>4215</v>
      </c>
      <c r="N315" t="s">
        <v>695</v>
      </c>
    </row>
    <row r="316" spans="1:14" ht="11.25" customHeight="1" x14ac:dyDescent="0.15">
      <c r="A316" t="s">
        <v>3627</v>
      </c>
      <c r="B316" t="s">
        <v>1</v>
      </c>
      <c r="C316" t="s">
        <v>4249</v>
      </c>
      <c r="D316" t="s">
        <v>4250</v>
      </c>
      <c r="E316" t="s">
        <v>4251</v>
      </c>
      <c r="F316" t="s">
        <v>3758</v>
      </c>
      <c r="G316" t="s">
        <v>4102</v>
      </c>
      <c r="H316" t="s">
        <v>4</v>
      </c>
      <c r="I316" t="s">
        <v>4103</v>
      </c>
      <c r="J316" t="s">
        <v>4</v>
      </c>
      <c r="K316" t="s">
        <v>4213</v>
      </c>
      <c r="L316" t="s">
        <v>4214</v>
      </c>
      <c r="M316" t="s">
        <v>4215</v>
      </c>
      <c r="N316" t="s">
        <v>695</v>
      </c>
    </row>
    <row r="317" spans="1:14" ht="11.25" customHeight="1" x14ac:dyDescent="0.15">
      <c r="A317" t="s">
        <v>3627</v>
      </c>
      <c r="B317" t="s">
        <v>1</v>
      </c>
      <c r="C317" t="s">
        <v>4252</v>
      </c>
      <c r="D317" t="s">
        <v>4250</v>
      </c>
      <c r="E317" t="s">
        <v>4253</v>
      </c>
      <c r="F317" t="s">
        <v>4078</v>
      </c>
      <c r="G317" t="s">
        <v>4114</v>
      </c>
      <c r="H317" t="s">
        <v>4</v>
      </c>
      <c r="I317" t="s">
        <v>4115</v>
      </c>
      <c r="J317" t="s">
        <v>4</v>
      </c>
      <c r="K317" t="s">
        <v>4213</v>
      </c>
      <c r="L317" t="s">
        <v>4214</v>
      </c>
      <c r="M317" t="s">
        <v>4215</v>
      </c>
      <c r="N317" t="s">
        <v>695</v>
      </c>
    </row>
    <row r="318" spans="1:14" ht="11.25" customHeight="1" x14ac:dyDescent="0.15">
      <c r="A318" t="s">
        <v>3627</v>
      </c>
      <c r="B318" t="s">
        <v>1</v>
      </c>
      <c r="C318" t="s">
        <v>4118</v>
      </c>
      <c r="D318" t="s">
        <v>4119</v>
      </c>
      <c r="E318" t="s">
        <v>4120</v>
      </c>
      <c r="F318" t="s">
        <v>3682</v>
      </c>
      <c r="G318" t="s">
        <v>4</v>
      </c>
      <c r="H318" t="s">
        <v>4</v>
      </c>
      <c r="I318" t="s">
        <v>4121</v>
      </c>
      <c r="J318" t="s">
        <v>4</v>
      </c>
      <c r="K318" t="s">
        <v>4213</v>
      </c>
      <c r="L318" t="s">
        <v>4238</v>
      </c>
      <c r="M318" t="s">
        <v>4239</v>
      </c>
      <c r="N318" t="s">
        <v>695</v>
      </c>
    </row>
    <row r="319" spans="1:14" ht="11.25" customHeight="1" x14ac:dyDescent="0.15">
      <c r="A319" t="s">
        <v>3627</v>
      </c>
      <c r="B319" t="s">
        <v>1</v>
      </c>
      <c r="C319" t="s">
        <v>4254</v>
      </c>
      <c r="D319" t="s">
        <v>4255</v>
      </c>
      <c r="E319" t="s">
        <v>4256</v>
      </c>
      <c r="F319" t="s">
        <v>3631</v>
      </c>
      <c r="G319" t="s">
        <v>4</v>
      </c>
      <c r="H319" t="s">
        <v>4</v>
      </c>
      <c r="I319" t="s">
        <v>4257</v>
      </c>
      <c r="J319" t="s">
        <v>4</v>
      </c>
      <c r="K319" t="s">
        <v>4213</v>
      </c>
      <c r="L319" t="s">
        <v>4214</v>
      </c>
      <c r="M319" t="s">
        <v>4215</v>
      </c>
      <c r="N319" t="s">
        <v>695</v>
      </c>
    </row>
    <row r="320" spans="1:14" ht="11.25" customHeight="1" x14ac:dyDescent="0.15">
      <c r="A320" t="s">
        <v>3627</v>
      </c>
      <c r="B320" t="s">
        <v>1</v>
      </c>
      <c r="C320" t="s">
        <v>4126</v>
      </c>
      <c r="D320" t="s">
        <v>4127</v>
      </c>
      <c r="E320" t="s">
        <v>4128</v>
      </c>
      <c r="F320" t="s">
        <v>3631</v>
      </c>
      <c r="G320" t="s">
        <v>4</v>
      </c>
      <c r="H320" t="s">
        <v>4</v>
      </c>
      <c r="I320" t="s">
        <v>3684</v>
      </c>
      <c r="J320" t="s">
        <v>4</v>
      </c>
      <c r="K320" t="s">
        <v>4213</v>
      </c>
      <c r="L320" t="s">
        <v>4214</v>
      </c>
      <c r="M320" t="s">
        <v>4215</v>
      </c>
      <c r="N320" t="s">
        <v>695</v>
      </c>
    </row>
    <row r="321" spans="1:14" ht="11.25" customHeight="1" x14ac:dyDescent="0.15">
      <c r="A321" t="s">
        <v>3627</v>
      </c>
      <c r="B321" t="s">
        <v>1</v>
      </c>
      <c r="C321" t="s">
        <v>4130</v>
      </c>
      <c r="D321" t="s">
        <v>4131</v>
      </c>
      <c r="E321" t="s">
        <v>4132</v>
      </c>
      <c r="F321" t="s">
        <v>3862</v>
      </c>
      <c r="G321" t="s">
        <v>4133</v>
      </c>
      <c r="H321" t="s">
        <v>4</v>
      </c>
      <c r="I321" t="s">
        <v>4134</v>
      </c>
      <c r="J321" t="s">
        <v>4</v>
      </c>
      <c r="K321" t="s">
        <v>4213</v>
      </c>
      <c r="L321" t="s">
        <v>4238</v>
      </c>
      <c r="M321" t="s">
        <v>4239</v>
      </c>
      <c r="N321" t="s">
        <v>695</v>
      </c>
    </row>
    <row r="322" spans="1:14" ht="11.25" customHeight="1" x14ac:dyDescent="0.15">
      <c r="A322" t="s">
        <v>3627</v>
      </c>
      <c r="B322" t="s">
        <v>1</v>
      </c>
      <c r="C322" t="s">
        <v>4258</v>
      </c>
      <c r="D322" t="s">
        <v>4259</v>
      </c>
      <c r="E322" t="s">
        <v>4260</v>
      </c>
      <c r="F322" t="s">
        <v>3631</v>
      </c>
      <c r="G322" t="s">
        <v>4261</v>
      </c>
      <c r="H322" t="s">
        <v>4</v>
      </c>
      <c r="I322" t="s">
        <v>4262</v>
      </c>
      <c r="J322" t="s">
        <v>4</v>
      </c>
      <c r="K322" t="s">
        <v>4213</v>
      </c>
      <c r="L322" t="s">
        <v>4214</v>
      </c>
      <c r="M322" t="s">
        <v>4215</v>
      </c>
      <c r="N322" t="s">
        <v>695</v>
      </c>
    </row>
    <row r="323" spans="1:14" ht="11.25" customHeight="1" x14ac:dyDescent="0.15">
      <c r="A323" t="s">
        <v>3627</v>
      </c>
      <c r="B323" t="s">
        <v>1</v>
      </c>
      <c r="C323" t="s">
        <v>4137</v>
      </c>
      <c r="D323" t="s">
        <v>4138</v>
      </c>
      <c r="E323" t="s">
        <v>4139</v>
      </c>
      <c r="F323" t="s">
        <v>3740</v>
      </c>
      <c r="G323" t="s">
        <v>4</v>
      </c>
      <c r="H323" t="s">
        <v>4</v>
      </c>
      <c r="I323" t="s">
        <v>4140</v>
      </c>
      <c r="J323" t="s">
        <v>4</v>
      </c>
      <c r="K323" t="s">
        <v>4228</v>
      </c>
      <c r="L323" t="s">
        <v>4236</v>
      </c>
      <c r="M323" t="s">
        <v>4237</v>
      </c>
      <c r="N323" t="s">
        <v>695</v>
      </c>
    </row>
    <row r="324" spans="1:14" ht="11.25" customHeight="1" x14ac:dyDescent="0.15">
      <c r="A324" t="s">
        <v>3627</v>
      </c>
      <c r="B324" t="s">
        <v>1</v>
      </c>
      <c r="C324" t="s">
        <v>4147</v>
      </c>
      <c r="D324" t="s">
        <v>4148</v>
      </c>
      <c r="E324" t="s">
        <v>4149</v>
      </c>
      <c r="F324" t="s">
        <v>4150</v>
      </c>
      <c r="G324" t="s">
        <v>4</v>
      </c>
      <c r="H324" t="s">
        <v>4</v>
      </c>
      <c r="I324" t="s">
        <v>4151</v>
      </c>
      <c r="J324" t="s">
        <v>4</v>
      </c>
      <c r="K324" t="s">
        <v>4213</v>
      </c>
      <c r="L324" t="s">
        <v>4214</v>
      </c>
      <c r="M324" t="s">
        <v>4215</v>
      </c>
      <c r="N324" t="s">
        <v>695</v>
      </c>
    </row>
    <row r="325" spans="1:14" ht="11.25" customHeight="1" x14ac:dyDescent="0.15">
      <c r="A325" t="s">
        <v>3627</v>
      </c>
      <c r="B325" t="s">
        <v>1</v>
      </c>
      <c r="C325" t="s">
        <v>4152</v>
      </c>
      <c r="D325" t="s">
        <v>4153</v>
      </c>
      <c r="E325" t="s">
        <v>4154</v>
      </c>
      <c r="F325" t="s">
        <v>3850</v>
      </c>
      <c r="G325" t="s">
        <v>4</v>
      </c>
      <c r="H325" t="s">
        <v>4</v>
      </c>
      <c r="I325" t="s">
        <v>3767</v>
      </c>
      <c r="J325" t="s">
        <v>4</v>
      </c>
      <c r="K325" t="s">
        <v>4213</v>
      </c>
      <c r="L325" t="s">
        <v>4214</v>
      </c>
      <c r="M325" t="s">
        <v>4215</v>
      </c>
      <c r="N325" t="s">
        <v>695</v>
      </c>
    </row>
    <row r="326" spans="1:14" ht="11.25" customHeight="1" x14ac:dyDescent="0.15">
      <c r="A326" t="s">
        <v>3627</v>
      </c>
      <c r="B326" t="s">
        <v>1</v>
      </c>
      <c r="C326" t="s">
        <v>4155</v>
      </c>
      <c r="D326" t="s">
        <v>4156</v>
      </c>
      <c r="E326" t="s">
        <v>4157</v>
      </c>
      <c r="F326" t="s">
        <v>3844</v>
      </c>
      <c r="G326" t="s">
        <v>4</v>
      </c>
      <c r="H326" t="s">
        <v>4</v>
      </c>
      <c r="I326" t="s">
        <v>3639</v>
      </c>
      <c r="J326" t="s">
        <v>4</v>
      </c>
      <c r="K326" t="s">
        <v>4213</v>
      </c>
      <c r="L326" t="s">
        <v>4214</v>
      </c>
      <c r="M326" t="s">
        <v>4215</v>
      </c>
      <c r="N326" t="s">
        <v>695</v>
      </c>
    </row>
    <row r="327" spans="1:14" ht="11.25" customHeight="1" x14ac:dyDescent="0.15">
      <c r="A327" t="s">
        <v>3627</v>
      </c>
      <c r="B327" t="s">
        <v>1</v>
      </c>
      <c r="C327" t="s">
        <v>3859</v>
      </c>
      <c r="D327" t="s">
        <v>3860</v>
      </c>
      <c r="E327" t="s">
        <v>3861</v>
      </c>
      <c r="F327" t="s">
        <v>3862</v>
      </c>
      <c r="G327" t="s">
        <v>3675</v>
      </c>
      <c r="H327" t="s">
        <v>4</v>
      </c>
      <c r="I327" t="s">
        <v>3647</v>
      </c>
      <c r="J327" t="s">
        <v>4</v>
      </c>
      <c r="K327" t="s">
        <v>4213</v>
      </c>
      <c r="L327" t="s">
        <v>4214</v>
      </c>
      <c r="M327" t="s">
        <v>4215</v>
      </c>
      <c r="N327" t="s">
        <v>695</v>
      </c>
    </row>
    <row r="328" spans="1:14" ht="11.25" customHeight="1" x14ac:dyDescent="0.15">
      <c r="A328" t="s">
        <v>3627</v>
      </c>
      <c r="B328" t="s">
        <v>1</v>
      </c>
      <c r="C328" t="s">
        <v>4171</v>
      </c>
      <c r="D328" t="s">
        <v>4172</v>
      </c>
      <c r="E328" t="s">
        <v>4173</v>
      </c>
      <c r="F328" t="s">
        <v>3669</v>
      </c>
      <c r="G328" t="s">
        <v>3946</v>
      </c>
      <c r="H328" t="s">
        <v>4</v>
      </c>
      <c r="I328" t="s">
        <v>3946</v>
      </c>
      <c r="J328" t="s">
        <v>4</v>
      </c>
      <c r="K328" t="s">
        <v>4228</v>
      </c>
      <c r="L328" t="s">
        <v>4229</v>
      </c>
      <c r="M328" t="s">
        <v>4230</v>
      </c>
      <c r="N328" t="s">
        <v>695</v>
      </c>
    </row>
    <row r="329" spans="1:14" ht="11.25" customHeight="1" x14ac:dyDescent="0.15">
      <c r="A329" t="s">
        <v>3627</v>
      </c>
      <c r="B329" t="s">
        <v>1</v>
      </c>
      <c r="C329" t="s">
        <v>4174</v>
      </c>
      <c r="D329" t="s">
        <v>4175</v>
      </c>
      <c r="E329" t="s">
        <v>4176</v>
      </c>
      <c r="F329" t="s">
        <v>3631</v>
      </c>
      <c r="G329" t="s">
        <v>4</v>
      </c>
      <c r="H329" t="s">
        <v>4</v>
      </c>
      <c r="I329" t="s">
        <v>3632</v>
      </c>
      <c r="J329" t="s">
        <v>4</v>
      </c>
      <c r="K329" t="s">
        <v>4213</v>
      </c>
      <c r="L329" t="s">
        <v>4214</v>
      </c>
      <c r="M329" t="s">
        <v>4215</v>
      </c>
      <c r="N329" t="s">
        <v>695</v>
      </c>
    </row>
    <row r="330" spans="1:14" ht="11.25" customHeight="1" x14ac:dyDescent="0.15">
      <c r="A330" t="s">
        <v>3627</v>
      </c>
      <c r="B330" t="s">
        <v>1</v>
      </c>
      <c r="C330" t="s">
        <v>3884</v>
      </c>
      <c r="D330" t="s">
        <v>3885</v>
      </c>
      <c r="E330" t="s">
        <v>3886</v>
      </c>
      <c r="F330" t="s">
        <v>3669</v>
      </c>
      <c r="G330" t="s">
        <v>3887</v>
      </c>
      <c r="H330" t="s">
        <v>4</v>
      </c>
      <c r="I330" t="s">
        <v>4180</v>
      </c>
      <c r="J330" t="s">
        <v>4</v>
      </c>
      <c r="K330" t="s">
        <v>4228</v>
      </c>
      <c r="L330" t="s">
        <v>4229</v>
      </c>
      <c r="M330" t="s">
        <v>4230</v>
      </c>
      <c r="N330" t="s">
        <v>695</v>
      </c>
    </row>
    <row r="331" spans="1:14" ht="11.25" customHeight="1" x14ac:dyDescent="0.15">
      <c r="A331" t="s">
        <v>3627</v>
      </c>
      <c r="B331" t="s">
        <v>1</v>
      </c>
      <c r="C331" t="s">
        <v>3884</v>
      </c>
      <c r="D331" t="s">
        <v>3885</v>
      </c>
      <c r="E331" t="s">
        <v>3886</v>
      </c>
      <c r="F331" t="s">
        <v>3669</v>
      </c>
      <c r="G331" t="s">
        <v>3887</v>
      </c>
      <c r="H331" t="s">
        <v>4</v>
      </c>
      <c r="I331" t="s">
        <v>3647</v>
      </c>
      <c r="J331" t="s">
        <v>4</v>
      </c>
      <c r="K331" t="s">
        <v>4228</v>
      </c>
      <c r="L331" t="s">
        <v>4229</v>
      </c>
      <c r="M331" t="s">
        <v>4230</v>
      </c>
      <c r="N331" t="s">
        <v>695</v>
      </c>
    </row>
    <row r="332" spans="1:14" ht="11.25" customHeight="1" x14ac:dyDescent="0.15">
      <c r="A332" t="s">
        <v>3627</v>
      </c>
      <c r="B332" t="s">
        <v>1</v>
      </c>
      <c r="C332" t="s">
        <v>3896</v>
      </c>
      <c r="D332" t="s">
        <v>3897</v>
      </c>
      <c r="E332" t="s">
        <v>3898</v>
      </c>
      <c r="F332" t="s">
        <v>3850</v>
      </c>
      <c r="G332" t="s">
        <v>4</v>
      </c>
      <c r="H332" t="s">
        <v>4</v>
      </c>
      <c r="I332" t="s">
        <v>3632</v>
      </c>
      <c r="J332" t="s">
        <v>4</v>
      </c>
      <c r="K332" t="s">
        <v>4213</v>
      </c>
      <c r="L332" t="s">
        <v>4214</v>
      </c>
      <c r="M332" t="s">
        <v>4215</v>
      </c>
      <c r="N332" t="s">
        <v>695</v>
      </c>
    </row>
    <row r="333" spans="1:14" ht="11.25" customHeight="1" x14ac:dyDescent="0.15">
      <c r="A333" t="s">
        <v>3627</v>
      </c>
      <c r="B333" t="s">
        <v>1</v>
      </c>
      <c r="C333" t="s">
        <v>3899</v>
      </c>
      <c r="D333" t="s">
        <v>3900</v>
      </c>
      <c r="E333" t="s">
        <v>3901</v>
      </c>
      <c r="F333" t="s">
        <v>3902</v>
      </c>
      <c r="G333" t="s">
        <v>3903</v>
      </c>
      <c r="H333" t="s">
        <v>4</v>
      </c>
      <c r="I333" t="s">
        <v>4188</v>
      </c>
      <c r="J333" t="s">
        <v>4</v>
      </c>
      <c r="K333" t="s">
        <v>4213</v>
      </c>
      <c r="L333" t="s">
        <v>4214</v>
      </c>
      <c r="M333" t="s">
        <v>4215</v>
      </c>
      <c r="N333" t="s">
        <v>695</v>
      </c>
    </row>
    <row r="334" spans="1:14" ht="11.25" customHeight="1" x14ac:dyDescent="0.15">
      <c r="A334" t="s">
        <v>3627</v>
      </c>
      <c r="B334" t="s">
        <v>1</v>
      </c>
      <c r="C334" t="s">
        <v>3899</v>
      </c>
      <c r="D334" t="s">
        <v>3900</v>
      </c>
      <c r="E334" t="s">
        <v>3901</v>
      </c>
      <c r="F334" t="s">
        <v>3902</v>
      </c>
      <c r="G334" t="s">
        <v>3903</v>
      </c>
      <c r="H334" t="s">
        <v>4</v>
      </c>
      <c r="I334" t="s">
        <v>3716</v>
      </c>
      <c r="J334" t="s">
        <v>4</v>
      </c>
      <c r="K334" t="s">
        <v>4213</v>
      </c>
      <c r="L334" t="s">
        <v>4214</v>
      </c>
      <c r="M334" t="s">
        <v>4215</v>
      </c>
      <c r="N334" t="s">
        <v>695</v>
      </c>
    </row>
    <row r="335" spans="1:14" ht="11.25" customHeight="1" x14ac:dyDescent="0.15">
      <c r="A335" t="s">
        <v>3627</v>
      </c>
      <c r="B335" t="s">
        <v>1</v>
      </c>
      <c r="C335" t="s">
        <v>3899</v>
      </c>
      <c r="D335" t="s">
        <v>3900</v>
      </c>
      <c r="E335" t="s">
        <v>3901</v>
      </c>
      <c r="F335" t="s">
        <v>3902</v>
      </c>
      <c r="G335" t="s">
        <v>3903</v>
      </c>
      <c r="H335" t="s">
        <v>4</v>
      </c>
      <c r="I335" t="s">
        <v>3767</v>
      </c>
      <c r="J335" t="s">
        <v>4</v>
      </c>
      <c r="K335" t="s">
        <v>4213</v>
      </c>
      <c r="L335" t="s">
        <v>4214</v>
      </c>
      <c r="M335" t="s">
        <v>4215</v>
      </c>
      <c r="N335" t="s">
        <v>695</v>
      </c>
    </row>
    <row r="336" spans="1:14" ht="11.25" customHeight="1" x14ac:dyDescent="0.15">
      <c r="A336" t="s">
        <v>3627</v>
      </c>
      <c r="B336" t="s">
        <v>1</v>
      </c>
      <c r="C336" t="s">
        <v>3899</v>
      </c>
      <c r="D336" t="s">
        <v>3900</v>
      </c>
      <c r="E336" t="s">
        <v>3901</v>
      </c>
      <c r="F336" t="s">
        <v>3902</v>
      </c>
      <c r="G336" t="s">
        <v>3903</v>
      </c>
      <c r="H336" t="s">
        <v>4</v>
      </c>
      <c r="I336" t="s">
        <v>3647</v>
      </c>
      <c r="J336" t="s">
        <v>4</v>
      </c>
      <c r="K336" t="s">
        <v>4213</v>
      </c>
      <c r="L336" t="s">
        <v>4214</v>
      </c>
      <c r="M336" t="s">
        <v>4215</v>
      </c>
      <c r="N336" t="s">
        <v>695</v>
      </c>
    </row>
    <row r="337" spans="1:14" ht="11.25" customHeight="1" x14ac:dyDescent="0.15">
      <c r="A337" t="s">
        <v>3627</v>
      </c>
      <c r="B337" t="s">
        <v>1</v>
      </c>
      <c r="C337" t="s">
        <v>3909</v>
      </c>
      <c r="D337" t="s">
        <v>3910</v>
      </c>
      <c r="E337" t="s">
        <v>3911</v>
      </c>
      <c r="F337" t="s">
        <v>3850</v>
      </c>
      <c r="G337" t="s">
        <v>4</v>
      </c>
      <c r="H337" t="s">
        <v>4</v>
      </c>
      <c r="I337" t="s">
        <v>3689</v>
      </c>
      <c r="J337" t="s">
        <v>4</v>
      </c>
      <c r="K337" t="s">
        <v>4228</v>
      </c>
      <c r="L337" t="s">
        <v>4229</v>
      </c>
      <c r="M337" t="s">
        <v>4230</v>
      </c>
      <c r="N337" t="s">
        <v>695</v>
      </c>
    </row>
    <row r="338" spans="1:14" ht="11.25" customHeight="1" x14ac:dyDescent="0.15">
      <c r="A338" t="s">
        <v>3627</v>
      </c>
      <c r="B338" t="s">
        <v>1</v>
      </c>
      <c r="C338" t="s">
        <v>4263</v>
      </c>
      <c r="D338" t="s">
        <v>4264</v>
      </c>
      <c r="E338" t="s">
        <v>4265</v>
      </c>
      <c r="F338" t="s">
        <v>3740</v>
      </c>
      <c r="G338" t="s">
        <v>4</v>
      </c>
      <c r="H338" t="s">
        <v>4</v>
      </c>
      <c r="I338" t="s">
        <v>4266</v>
      </c>
      <c r="J338" t="s">
        <v>4</v>
      </c>
      <c r="K338" t="s">
        <v>4213</v>
      </c>
      <c r="L338" t="s">
        <v>4214</v>
      </c>
      <c r="M338" t="s">
        <v>4215</v>
      </c>
      <c r="N338" t="s">
        <v>695</v>
      </c>
    </row>
    <row r="339" spans="1:14" ht="11.25" customHeight="1" x14ac:dyDescent="0.15">
      <c r="A339" t="s">
        <v>3627</v>
      </c>
      <c r="B339" t="s">
        <v>1</v>
      </c>
      <c r="C339" t="s">
        <v>4189</v>
      </c>
      <c r="D339" t="s">
        <v>4190</v>
      </c>
      <c r="E339" t="s">
        <v>4191</v>
      </c>
      <c r="F339" t="s">
        <v>4043</v>
      </c>
      <c r="G339" t="s">
        <v>4</v>
      </c>
      <c r="H339" t="s">
        <v>4</v>
      </c>
      <c r="I339" t="s">
        <v>3716</v>
      </c>
      <c r="J339" t="s">
        <v>4</v>
      </c>
      <c r="K339" t="s">
        <v>4213</v>
      </c>
      <c r="L339" t="s">
        <v>4214</v>
      </c>
      <c r="M339" t="s">
        <v>4215</v>
      </c>
      <c r="N339" t="s">
        <v>695</v>
      </c>
    </row>
    <row r="340" spans="1:14" ht="11.25" customHeight="1" x14ac:dyDescent="0.15">
      <c r="A340" t="s">
        <v>3627</v>
      </c>
      <c r="B340" t="s">
        <v>1</v>
      </c>
      <c r="C340" t="s">
        <v>4192</v>
      </c>
      <c r="D340" t="s">
        <v>4193</v>
      </c>
      <c r="E340" t="s">
        <v>4194</v>
      </c>
      <c r="F340" t="s">
        <v>4043</v>
      </c>
      <c r="G340" t="s">
        <v>4</v>
      </c>
      <c r="H340" t="s">
        <v>4</v>
      </c>
      <c r="I340" t="s">
        <v>3716</v>
      </c>
      <c r="J340" t="s">
        <v>4</v>
      </c>
      <c r="K340" t="s">
        <v>4213</v>
      </c>
      <c r="L340" t="s">
        <v>4214</v>
      </c>
      <c r="M340" t="s">
        <v>4215</v>
      </c>
      <c r="N340" t="s">
        <v>695</v>
      </c>
    </row>
    <row r="341" spans="1:14" ht="11.25" customHeight="1" x14ac:dyDescent="0.15">
      <c r="A341" t="s">
        <v>3627</v>
      </c>
      <c r="B341" t="s">
        <v>1</v>
      </c>
      <c r="C341" t="s">
        <v>3915</v>
      </c>
      <c r="D341" t="s">
        <v>3916</v>
      </c>
      <c r="E341" t="s">
        <v>3917</v>
      </c>
      <c r="F341" t="s">
        <v>3758</v>
      </c>
      <c r="G341" t="s">
        <v>4</v>
      </c>
      <c r="H341" t="s">
        <v>4</v>
      </c>
      <c r="I341" t="s">
        <v>3632</v>
      </c>
      <c r="J341" t="s">
        <v>4</v>
      </c>
      <c r="K341" t="s">
        <v>4213</v>
      </c>
      <c r="L341" t="s">
        <v>4214</v>
      </c>
      <c r="M341" t="s">
        <v>4215</v>
      </c>
      <c r="N341" t="s">
        <v>695</v>
      </c>
    </row>
    <row r="342" spans="1:14" ht="11.25" customHeight="1" x14ac:dyDescent="0.15">
      <c r="A342" t="s">
        <v>3627</v>
      </c>
      <c r="B342" t="s">
        <v>1</v>
      </c>
      <c r="C342" t="s">
        <v>4198</v>
      </c>
      <c r="D342" t="s">
        <v>4199</v>
      </c>
      <c r="E342" t="s">
        <v>4200</v>
      </c>
      <c r="F342" t="s">
        <v>4201</v>
      </c>
      <c r="G342" t="s">
        <v>4202</v>
      </c>
      <c r="H342" t="s">
        <v>4</v>
      </c>
      <c r="I342" t="s">
        <v>3647</v>
      </c>
      <c r="J342" t="s">
        <v>4</v>
      </c>
      <c r="K342" t="s">
        <v>4213</v>
      </c>
      <c r="L342" t="s">
        <v>4214</v>
      </c>
      <c r="M342" t="s">
        <v>4215</v>
      </c>
      <c r="N342" t="s">
        <v>695</v>
      </c>
    </row>
    <row r="343" spans="1:14" ht="11.25" customHeight="1" x14ac:dyDescent="0.15">
      <c r="A343" t="s">
        <v>3627</v>
      </c>
      <c r="B343" t="s">
        <v>1</v>
      </c>
      <c r="C343" t="s">
        <v>4203</v>
      </c>
      <c r="D343" t="s">
        <v>4204</v>
      </c>
      <c r="E343" t="s">
        <v>4205</v>
      </c>
      <c r="F343" t="s">
        <v>3993</v>
      </c>
      <c r="G343" t="s">
        <v>4</v>
      </c>
      <c r="H343" t="s">
        <v>4</v>
      </c>
      <c r="I343" t="s">
        <v>3767</v>
      </c>
      <c r="J343" t="s">
        <v>4</v>
      </c>
      <c r="K343" t="s">
        <v>4213</v>
      </c>
      <c r="L343" t="s">
        <v>4214</v>
      </c>
      <c r="M343" t="s">
        <v>4215</v>
      </c>
      <c r="N343" t="s">
        <v>695</v>
      </c>
    </row>
    <row r="344" spans="1:14" ht="11.25" customHeight="1" x14ac:dyDescent="0.15">
      <c r="A344" t="s">
        <v>3627</v>
      </c>
      <c r="B344" t="s">
        <v>1</v>
      </c>
      <c r="C344" t="s">
        <v>4267</v>
      </c>
      <c r="D344" t="s">
        <v>4268</v>
      </c>
      <c r="E344" t="s">
        <v>4269</v>
      </c>
      <c r="F344" t="s">
        <v>3674</v>
      </c>
      <c r="G344" t="s">
        <v>4</v>
      </c>
      <c r="H344" t="s">
        <v>4</v>
      </c>
      <c r="I344" t="s">
        <v>4270</v>
      </c>
      <c r="J344" t="s">
        <v>4</v>
      </c>
      <c r="K344" t="s">
        <v>4213</v>
      </c>
      <c r="L344" t="s">
        <v>4214</v>
      </c>
      <c r="M344" t="s">
        <v>4215</v>
      </c>
      <c r="N344" t="s">
        <v>695</v>
      </c>
    </row>
    <row r="345" spans="1:14" ht="11.25" customHeight="1" x14ac:dyDescent="0.15">
      <c r="A345" t="s">
        <v>3627</v>
      </c>
      <c r="B345" t="s">
        <v>1</v>
      </c>
      <c r="C345" t="s">
        <v>3948</v>
      </c>
      <c r="D345" t="s">
        <v>3949</v>
      </c>
      <c r="E345" t="s">
        <v>3950</v>
      </c>
      <c r="F345" t="s">
        <v>3844</v>
      </c>
      <c r="G345" t="s">
        <v>4</v>
      </c>
      <c r="H345" t="s">
        <v>4</v>
      </c>
      <c r="I345" t="s">
        <v>3639</v>
      </c>
      <c r="J345" t="s">
        <v>4</v>
      </c>
      <c r="K345" t="s">
        <v>4213</v>
      </c>
      <c r="L345" t="s">
        <v>4214</v>
      </c>
      <c r="M345" t="s">
        <v>4215</v>
      </c>
      <c r="N345" t="s">
        <v>695</v>
      </c>
    </row>
    <row r="346" spans="1:14" ht="11.25" customHeight="1" x14ac:dyDescent="0.15">
      <c r="A346" t="s">
        <v>3627</v>
      </c>
      <c r="B346" t="s">
        <v>1</v>
      </c>
      <c r="C346" t="s">
        <v>4271</v>
      </c>
      <c r="D346" t="s">
        <v>4272</v>
      </c>
      <c r="E346" t="s">
        <v>4273</v>
      </c>
      <c r="F346" t="s">
        <v>1685</v>
      </c>
      <c r="G346" t="s">
        <v>4274</v>
      </c>
      <c r="H346" t="s">
        <v>4</v>
      </c>
      <c r="I346" t="s">
        <v>3647</v>
      </c>
      <c r="J346" t="s">
        <v>4</v>
      </c>
      <c r="K346" t="s">
        <v>4275</v>
      </c>
      <c r="L346" t="s">
        <v>4275</v>
      </c>
      <c r="M346" t="s">
        <v>4276</v>
      </c>
      <c r="N346" t="s">
        <v>697</v>
      </c>
    </row>
    <row r="347" spans="1:14" ht="11.25" customHeight="1" x14ac:dyDescent="0.15">
      <c r="A347" t="s">
        <v>3627</v>
      </c>
      <c r="B347" t="s">
        <v>1</v>
      </c>
      <c r="C347" t="s">
        <v>4277</v>
      </c>
      <c r="D347" t="s">
        <v>4278</v>
      </c>
      <c r="E347" t="s">
        <v>4279</v>
      </c>
      <c r="F347" t="s">
        <v>37</v>
      </c>
      <c r="G347" t="s">
        <v>4</v>
      </c>
      <c r="H347" t="s">
        <v>4</v>
      </c>
      <c r="I347" t="s">
        <v>4280</v>
      </c>
      <c r="J347" t="s">
        <v>4</v>
      </c>
      <c r="K347" t="s">
        <v>1350</v>
      </c>
      <c r="L347" t="s">
        <v>1350</v>
      </c>
      <c r="M347" t="s">
        <v>4281</v>
      </c>
      <c r="N347" t="s">
        <v>697</v>
      </c>
    </row>
    <row r="348" spans="1:14" ht="11.25" customHeight="1" x14ac:dyDescent="0.15">
      <c r="A348" t="s">
        <v>3627</v>
      </c>
      <c r="B348" t="s">
        <v>1</v>
      </c>
      <c r="C348" t="s">
        <v>4277</v>
      </c>
      <c r="D348" t="s">
        <v>4278</v>
      </c>
      <c r="E348" t="s">
        <v>4279</v>
      </c>
      <c r="F348" t="s">
        <v>37</v>
      </c>
      <c r="G348" t="s">
        <v>4</v>
      </c>
      <c r="H348" t="s">
        <v>4</v>
      </c>
      <c r="I348" t="s">
        <v>3684</v>
      </c>
      <c r="J348" t="s">
        <v>4</v>
      </c>
      <c r="K348" t="s">
        <v>586</v>
      </c>
      <c r="L348" t="s">
        <v>586</v>
      </c>
      <c r="M348" t="s">
        <v>4282</v>
      </c>
      <c r="N348" t="s">
        <v>697</v>
      </c>
    </row>
    <row r="349" spans="1:14" ht="11.25" customHeight="1" x14ac:dyDescent="0.15">
      <c r="A349" t="s">
        <v>3627</v>
      </c>
      <c r="B349" t="s">
        <v>1</v>
      </c>
      <c r="C349" t="s">
        <v>4277</v>
      </c>
      <c r="D349" t="s">
        <v>4278</v>
      </c>
      <c r="E349" t="s">
        <v>4279</v>
      </c>
      <c r="F349" t="s">
        <v>37</v>
      </c>
      <c r="G349" t="s">
        <v>4</v>
      </c>
      <c r="H349" t="s">
        <v>4</v>
      </c>
      <c r="I349" t="s">
        <v>3716</v>
      </c>
      <c r="J349" t="s">
        <v>4</v>
      </c>
      <c r="K349" t="s">
        <v>586</v>
      </c>
      <c r="L349" t="s">
        <v>586</v>
      </c>
      <c r="M349" t="s">
        <v>4282</v>
      </c>
      <c r="N349" t="s">
        <v>697</v>
      </c>
    </row>
    <row r="350" spans="1:14" ht="11.25" customHeight="1" x14ac:dyDescent="0.15">
      <c r="A350" t="s">
        <v>3627</v>
      </c>
      <c r="B350" t="s">
        <v>1</v>
      </c>
      <c r="C350" t="s">
        <v>4277</v>
      </c>
      <c r="D350" t="s">
        <v>4278</v>
      </c>
      <c r="E350" t="s">
        <v>4279</v>
      </c>
      <c r="F350" t="s">
        <v>37</v>
      </c>
      <c r="G350" t="s">
        <v>4</v>
      </c>
      <c r="H350" t="s">
        <v>4</v>
      </c>
      <c r="I350" t="s">
        <v>3767</v>
      </c>
      <c r="J350" t="s">
        <v>4</v>
      </c>
      <c r="K350" t="s">
        <v>1368</v>
      </c>
      <c r="L350" t="s">
        <v>1368</v>
      </c>
      <c r="M350" t="s">
        <v>4283</v>
      </c>
      <c r="N350" t="s">
        <v>697</v>
      </c>
    </row>
    <row r="351" spans="1:14" ht="11.25" customHeight="1" x14ac:dyDescent="0.15">
      <c r="A351" t="s">
        <v>3627</v>
      </c>
      <c r="B351" t="s">
        <v>1</v>
      </c>
      <c r="C351" t="s">
        <v>4277</v>
      </c>
      <c r="D351" t="s">
        <v>4278</v>
      </c>
      <c r="E351" t="s">
        <v>4279</v>
      </c>
      <c r="F351" t="s">
        <v>37</v>
      </c>
      <c r="G351" t="s">
        <v>4</v>
      </c>
      <c r="H351" t="s">
        <v>4</v>
      </c>
      <c r="I351" t="s">
        <v>3647</v>
      </c>
      <c r="J351" t="s">
        <v>4</v>
      </c>
      <c r="K351" t="s">
        <v>586</v>
      </c>
      <c r="L351" t="s">
        <v>586</v>
      </c>
      <c r="M351" t="s">
        <v>4282</v>
      </c>
      <c r="N351" t="s">
        <v>697</v>
      </c>
    </row>
    <row r="352" spans="1:14" ht="11.25" customHeight="1" x14ac:dyDescent="0.15">
      <c r="A352" t="s">
        <v>3627</v>
      </c>
      <c r="B352" t="s">
        <v>1</v>
      </c>
      <c r="C352" t="s">
        <v>4277</v>
      </c>
      <c r="D352" t="s">
        <v>4278</v>
      </c>
      <c r="E352" t="s">
        <v>4279</v>
      </c>
      <c r="F352" t="s">
        <v>37</v>
      </c>
      <c r="G352" t="s">
        <v>4</v>
      </c>
      <c r="H352" t="s">
        <v>4</v>
      </c>
      <c r="I352" t="s">
        <v>3647</v>
      </c>
      <c r="J352" t="s">
        <v>4</v>
      </c>
      <c r="K352" t="s">
        <v>1368</v>
      </c>
      <c r="L352" t="s">
        <v>4284</v>
      </c>
      <c r="M352" t="s">
        <v>4285</v>
      </c>
      <c r="N352" t="s">
        <v>697</v>
      </c>
    </row>
    <row r="353" spans="1:14" ht="11.25" customHeight="1" x14ac:dyDescent="0.15">
      <c r="A353" t="s">
        <v>3627</v>
      </c>
      <c r="B353" t="s">
        <v>1</v>
      </c>
      <c r="C353" t="s">
        <v>4277</v>
      </c>
      <c r="D353" t="s">
        <v>4278</v>
      </c>
      <c r="E353" t="s">
        <v>4279</v>
      </c>
      <c r="F353" t="s">
        <v>37</v>
      </c>
      <c r="G353" t="s">
        <v>4</v>
      </c>
      <c r="H353" t="s">
        <v>4</v>
      </c>
      <c r="I353" t="s">
        <v>3647</v>
      </c>
      <c r="J353" t="s">
        <v>4</v>
      </c>
      <c r="K353" t="s">
        <v>586</v>
      </c>
      <c r="L353" t="s">
        <v>4284</v>
      </c>
      <c r="M353" t="s">
        <v>4285</v>
      </c>
      <c r="N353" t="s">
        <v>697</v>
      </c>
    </row>
    <row r="354" spans="1:14" ht="11.25" customHeight="1" x14ac:dyDescent="0.15">
      <c r="A354" t="s">
        <v>3627</v>
      </c>
      <c r="B354" t="s">
        <v>1</v>
      </c>
      <c r="C354" t="s">
        <v>4277</v>
      </c>
      <c r="D354" t="s">
        <v>4278</v>
      </c>
      <c r="E354" t="s">
        <v>4279</v>
      </c>
      <c r="F354" t="s">
        <v>37</v>
      </c>
      <c r="G354" t="s">
        <v>4</v>
      </c>
      <c r="H354" t="s">
        <v>4</v>
      </c>
      <c r="I354" t="s">
        <v>3647</v>
      </c>
      <c r="J354" t="s">
        <v>4</v>
      </c>
      <c r="K354" t="s">
        <v>4275</v>
      </c>
      <c r="L354" t="s">
        <v>4275</v>
      </c>
      <c r="M354" t="s">
        <v>4276</v>
      </c>
      <c r="N354" t="s">
        <v>697</v>
      </c>
    </row>
    <row r="355" spans="1:14" ht="11.25" customHeight="1" x14ac:dyDescent="0.15">
      <c r="A355" t="s">
        <v>3627</v>
      </c>
      <c r="B355" t="s">
        <v>1</v>
      </c>
      <c r="C355" t="s">
        <v>4277</v>
      </c>
      <c r="D355" t="s">
        <v>4278</v>
      </c>
      <c r="E355" t="s">
        <v>4279</v>
      </c>
      <c r="F355" t="s">
        <v>37</v>
      </c>
      <c r="G355" t="s">
        <v>4</v>
      </c>
      <c r="H355" t="s">
        <v>4</v>
      </c>
      <c r="I355" t="s">
        <v>3647</v>
      </c>
      <c r="J355" t="s">
        <v>4</v>
      </c>
      <c r="K355" t="s">
        <v>586</v>
      </c>
      <c r="L355" t="s">
        <v>4286</v>
      </c>
      <c r="M355" t="s">
        <v>4287</v>
      </c>
      <c r="N355" t="s">
        <v>697</v>
      </c>
    </row>
    <row r="356" spans="1:14" ht="11.25" customHeight="1" x14ac:dyDescent="0.15">
      <c r="A356" t="s">
        <v>3627</v>
      </c>
      <c r="B356" t="s">
        <v>1</v>
      </c>
      <c r="C356" t="s">
        <v>4277</v>
      </c>
      <c r="D356" t="s">
        <v>4278</v>
      </c>
      <c r="E356" t="s">
        <v>4279</v>
      </c>
      <c r="F356" t="s">
        <v>37</v>
      </c>
      <c r="G356" t="s">
        <v>4</v>
      </c>
      <c r="H356" t="s">
        <v>4</v>
      </c>
      <c r="I356" t="s">
        <v>3647</v>
      </c>
      <c r="J356" t="s">
        <v>4</v>
      </c>
      <c r="K356" t="s">
        <v>4275</v>
      </c>
      <c r="L356" t="s">
        <v>4286</v>
      </c>
      <c r="M356" t="s">
        <v>4287</v>
      </c>
      <c r="N356" t="s">
        <v>697</v>
      </c>
    </row>
    <row r="357" spans="1:14" ht="11.25" customHeight="1" x14ac:dyDescent="0.15">
      <c r="A357" t="s">
        <v>3627</v>
      </c>
      <c r="B357" t="s">
        <v>1</v>
      </c>
      <c r="C357" t="s">
        <v>4015</v>
      </c>
      <c r="D357" t="s">
        <v>4016</v>
      </c>
      <c r="E357" t="s">
        <v>4017</v>
      </c>
      <c r="F357" t="s">
        <v>4018</v>
      </c>
      <c r="G357" t="s">
        <v>4</v>
      </c>
      <c r="H357" t="s">
        <v>4</v>
      </c>
      <c r="I357" t="s">
        <v>3639</v>
      </c>
      <c r="J357" t="s">
        <v>4</v>
      </c>
      <c r="K357" t="s">
        <v>1350</v>
      </c>
      <c r="L357" t="s">
        <v>1350</v>
      </c>
      <c r="M357" t="s">
        <v>4281</v>
      </c>
      <c r="N357" t="s">
        <v>697</v>
      </c>
    </row>
    <row r="358" spans="1:14" ht="11.25" customHeight="1" x14ac:dyDescent="0.15">
      <c r="A358" t="s">
        <v>3627</v>
      </c>
      <c r="B358" t="s">
        <v>1</v>
      </c>
      <c r="C358" t="s">
        <v>4288</v>
      </c>
      <c r="D358" t="s">
        <v>4289</v>
      </c>
      <c r="E358" t="s">
        <v>4290</v>
      </c>
      <c r="F358" t="s">
        <v>3817</v>
      </c>
      <c r="G358" t="s">
        <v>4291</v>
      </c>
      <c r="H358" t="s">
        <v>4</v>
      </c>
      <c r="I358" t="s">
        <v>3846</v>
      </c>
      <c r="J358" t="s">
        <v>4</v>
      </c>
      <c r="K358" t="s">
        <v>1350</v>
      </c>
      <c r="L358" t="s">
        <v>1350</v>
      </c>
      <c r="M358" t="s">
        <v>4281</v>
      </c>
      <c r="N358" t="s">
        <v>697</v>
      </c>
    </row>
    <row r="359" spans="1:14" ht="11.25" customHeight="1" x14ac:dyDescent="0.15">
      <c r="A359" t="s">
        <v>3627</v>
      </c>
      <c r="B359" t="s">
        <v>1</v>
      </c>
      <c r="C359" t="s">
        <v>4292</v>
      </c>
      <c r="D359" t="s">
        <v>4293</v>
      </c>
      <c r="E359" t="s">
        <v>4294</v>
      </c>
      <c r="F359" t="s">
        <v>3844</v>
      </c>
      <c r="G359" t="s">
        <v>4</v>
      </c>
      <c r="H359" t="s">
        <v>4</v>
      </c>
      <c r="I359" t="s">
        <v>4280</v>
      </c>
      <c r="J359" t="s">
        <v>4</v>
      </c>
      <c r="K359" t="s">
        <v>1350</v>
      </c>
      <c r="L359" t="s">
        <v>1350</v>
      </c>
      <c r="M359" t="s">
        <v>4281</v>
      </c>
      <c r="N359" t="s">
        <v>697</v>
      </c>
    </row>
    <row r="360" spans="1:14" ht="11.25" customHeight="1" x14ac:dyDescent="0.15">
      <c r="A360" t="s">
        <v>3627</v>
      </c>
      <c r="B360" t="s">
        <v>1</v>
      </c>
      <c r="C360" t="s">
        <v>4292</v>
      </c>
      <c r="D360" t="s">
        <v>4293</v>
      </c>
      <c r="E360" t="s">
        <v>4294</v>
      </c>
      <c r="F360" t="s">
        <v>3844</v>
      </c>
      <c r="G360" t="s">
        <v>4</v>
      </c>
      <c r="H360" t="s">
        <v>4</v>
      </c>
      <c r="I360" t="s">
        <v>3647</v>
      </c>
      <c r="J360" t="s">
        <v>4</v>
      </c>
      <c r="K360" t="s">
        <v>4275</v>
      </c>
      <c r="L360" t="s">
        <v>4275</v>
      </c>
      <c r="M360" t="s">
        <v>4276</v>
      </c>
      <c r="N360" t="s">
        <v>697</v>
      </c>
    </row>
    <row r="361" spans="1:14" ht="11.25" customHeight="1" x14ac:dyDescent="0.15">
      <c r="A361" t="s">
        <v>3627</v>
      </c>
      <c r="B361" t="s">
        <v>1</v>
      </c>
      <c r="C361" t="s">
        <v>3770</v>
      </c>
      <c r="D361" t="s">
        <v>3771</v>
      </c>
      <c r="E361" t="s">
        <v>3772</v>
      </c>
      <c r="F361" t="s">
        <v>3766</v>
      </c>
      <c r="G361" t="s">
        <v>4</v>
      </c>
      <c r="H361" t="s">
        <v>4</v>
      </c>
      <c r="I361" t="s">
        <v>3767</v>
      </c>
      <c r="J361" t="s">
        <v>4</v>
      </c>
      <c r="K361" t="s">
        <v>1350</v>
      </c>
      <c r="L361" t="s">
        <v>1350</v>
      </c>
      <c r="M361" t="s">
        <v>4281</v>
      </c>
      <c r="N361" t="s">
        <v>697</v>
      </c>
    </row>
    <row r="362" spans="1:14" ht="11.25" customHeight="1" x14ac:dyDescent="0.15">
      <c r="A362" t="s">
        <v>3627</v>
      </c>
      <c r="B362" t="s">
        <v>1</v>
      </c>
      <c r="C362" t="s">
        <v>3770</v>
      </c>
      <c r="D362" t="s">
        <v>3771</v>
      </c>
      <c r="E362" t="s">
        <v>3772</v>
      </c>
      <c r="F362" t="s">
        <v>3766</v>
      </c>
      <c r="G362" t="s">
        <v>4</v>
      </c>
      <c r="H362" t="s">
        <v>4</v>
      </c>
      <c r="I362" t="s">
        <v>3647</v>
      </c>
      <c r="J362" t="s">
        <v>4</v>
      </c>
      <c r="K362" t="s">
        <v>4275</v>
      </c>
      <c r="L362" t="s">
        <v>4275</v>
      </c>
      <c r="M362" t="s">
        <v>4276</v>
      </c>
      <c r="N362" t="s">
        <v>697</v>
      </c>
    </row>
    <row r="363" spans="1:14" ht="11.25" customHeight="1" x14ac:dyDescent="0.15">
      <c r="A363" t="s">
        <v>3627</v>
      </c>
      <c r="B363" t="s">
        <v>1</v>
      </c>
      <c r="C363" t="s">
        <v>4295</v>
      </c>
      <c r="D363" t="s">
        <v>4296</v>
      </c>
      <c r="E363" t="s">
        <v>4297</v>
      </c>
      <c r="F363" t="s">
        <v>4243</v>
      </c>
      <c r="G363" t="s">
        <v>4298</v>
      </c>
      <c r="H363" t="s">
        <v>4</v>
      </c>
      <c r="I363" t="s">
        <v>3647</v>
      </c>
      <c r="J363" t="s">
        <v>4</v>
      </c>
      <c r="K363" t="s">
        <v>4275</v>
      </c>
      <c r="L363" t="s">
        <v>4275</v>
      </c>
      <c r="M363" t="s">
        <v>4276</v>
      </c>
      <c r="N363" t="s">
        <v>697</v>
      </c>
    </row>
    <row r="364" spans="1:14" ht="11.25" customHeight="1" x14ac:dyDescent="0.15">
      <c r="A364" t="s">
        <v>3627</v>
      </c>
      <c r="B364" t="s">
        <v>1</v>
      </c>
      <c r="C364" t="s">
        <v>4299</v>
      </c>
      <c r="D364" t="s">
        <v>4300</v>
      </c>
      <c r="E364" t="s">
        <v>4301</v>
      </c>
      <c r="F364" t="s">
        <v>4034</v>
      </c>
      <c r="G364" t="s">
        <v>4</v>
      </c>
      <c r="H364" t="s">
        <v>4</v>
      </c>
      <c r="I364" t="s">
        <v>3647</v>
      </c>
      <c r="J364" t="s">
        <v>4</v>
      </c>
      <c r="K364" t="s">
        <v>1350</v>
      </c>
      <c r="L364" t="s">
        <v>4302</v>
      </c>
      <c r="M364" t="s">
        <v>4303</v>
      </c>
      <c r="N364" t="s">
        <v>697</v>
      </c>
    </row>
    <row r="365" spans="1:14" ht="11.25" customHeight="1" x14ac:dyDescent="0.15">
      <c r="A365" t="s">
        <v>3627</v>
      </c>
      <c r="B365" t="s">
        <v>1</v>
      </c>
      <c r="C365" t="s">
        <v>4299</v>
      </c>
      <c r="D365" t="s">
        <v>4300</v>
      </c>
      <c r="E365" t="s">
        <v>4301</v>
      </c>
      <c r="F365" t="s">
        <v>4034</v>
      </c>
      <c r="G365" t="s">
        <v>4</v>
      </c>
      <c r="H365" t="s">
        <v>4</v>
      </c>
      <c r="I365" t="s">
        <v>3647</v>
      </c>
      <c r="J365" t="s">
        <v>4</v>
      </c>
      <c r="K365" t="s">
        <v>4275</v>
      </c>
      <c r="L365" t="s">
        <v>4302</v>
      </c>
      <c r="M365" t="s">
        <v>4303</v>
      </c>
      <c r="N365" t="s">
        <v>697</v>
      </c>
    </row>
    <row r="366" spans="1:14" ht="11.25" customHeight="1" x14ac:dyDescent="0.15">
      <c r="A366" t="s">
        <v>3627</v>
      </c>
      <c r="B366" t="s">
        <v>1</v>
      </c>
      <c r="C366" t="s">
        <v>4304</v>
      </c>
      <c r="D366" t="s">
        <v>4305</v>
      </c>
      <c r="E366" t="s">
        <v>4306</v>
      </c>
      <c r="F366" t="s">
        <v>3682</v>
      </c>
      <c r="G366" t="s">
        <v>4</v>
      </c>
      <c r="H366" t="s">
        <v>4</v>
      </c>
      <c r="I366" t="s">
        <v>3767</v>
      </c>
      <c r="J366" t="s">
        <v>4</v>
      </c>
      <c r="K366" t="s">
        <v>1350</v>
      </c>
      <c r="L366" t="s">
        <v>4307</v>
      </c>
      <c r="M366" t="s">
        <v>4308</v>
      </c>
      <c r="N366" t="s">
        <v>697</v>
      </c>
    </row>
    <row r="367" spans="1:14" ht="11.25" customHeight="1" x14ac:dyDescent="0.15">
      <c r="A367" t="s">
        <v>3627</v>
      </c>
      <c r="B367" t="s">
        <v>1</v>
      </c>
      <c r="C367" t="s">
        <v>4304</v>
      </c>
      <c r="D367" t="s">
        <v>4305</v>
      </c>
      <c r="E367" t="s">
        <v>4306</v>
      </c>
      <c r="F367" t="s">
        <v>3682</v>
      </c>
      <c r="G367" t="s">
        <v>4</v>
      </c>
      <c r="H367" t="s">
        <v>4</v>
      </c>
      <c r="I367" t="s">
        <v>3767</v>
      </c>
      <c r="J367" t="s">
        <v>4</v>
      </c>
      <c r="K367" t="s">
        <v>1368</v>
      </c>
      <c r="L367" t="s">
        <v>4307</v>
      </c>
      <c r="M367" t="s">
        <v>4308</v>
      </c>
      <c r="N367" t="s">
        <v>697</v>
      </c>
    </row>
    <row r="368" spans="1:14" ht="11.25" customHeight="1" x14ac:dyDescent="0.15">
      <c r="A368" t="s">
        <v>3627</v>
      </c>
      <c r="B368" t="s">
        <v>1</v>
      </c>
      <c r="C368" t="s">
        <v>4309</v>
      </c>
      <c r="D368" t="s">
        <v>4310</v>
      </c>
      <c r="E368" t="s">
        <v>4311</v>
      </c>
      <c r="F368" t="s">
        <v>3693</v>
      </c>
      <c r="G368" t="s">
        <v>4312</v>
      </c>
      <c r="H368" t="s">
        <v>4</v>
      </c>
      <c r="I368" t="s">
        <v>3647</v>
      </c>
      <c r="J368" t="s">
        <v>4</v>
      </c>
      <c r="K368" t="s">
        <v>4275</v>
      </c>
      <c r="L368" t="s">
        <v>4275</v>
      </c>
      <c r="M368" t="s">
        <v>4276</v>
      </c>
      <c r="N368" t="s">
        <v>697</v>
      </c>
    </row>
    <row r="369" spans="1:14" ht="11.25" customHeight="1" x14ac:dyDescent="0.15">
      <c r="A369" t="s">
        <v>3627</v>
      </c>
      <c r="B369" t="s">
        <v>1</v>
      </c>
      <c r="C369" t="s">
        <v>4313</v>
      </c>
      <c r="D369" t="s">
        <v>4314</v>
      </c>
      <c r="E369" t="s">
        <v>4315</v>
      </c>
      <c r="F369" t="s">
        <v>3786</v>
      </c>
      <c r="G369" t="s">
        <v>4316</v>
      </c>
      <c r="H369" t="s">
        <v>4</v>
      </c>
      <c r="I369" t="s">
        <v>3647</v>
      </c>
      <c r="J369" t="s">
        <v>4</v>
      </c>
      <c r="K369" t="s">
        <v>4275</v>
      </c>
      <c r="L369" t="s">
        <v>4275</v>
      </c>
      <c r="M369" t="s">
        <v>4276</v>
      </c>
      <c r="N369" t="s">
        <v>697</v>
      </c>
    </row>
    <row r="370" spans="1:14" ht="11.25" customHeight="1" x14ac:dyDescent="0.15">
      <c r="A370" t="s">
        <v>3627</v>
      </c>
      <c r="B370" t="s">
        <v>1</v>
      </c>
      <c r="C370" t="s">
        <v>4317</v>
      </c>
      <c r="D370" t="s">
        <v>4318</v>
      </c>
      <c r="E370" t="s">
        <v>4319</v>
      </c>
      <c r="F370" t="s">
        <v>3817</v>
      </c>
      <c r="G370" t="s">
        <v>4320</v>
      </c>
      <c r="H370" t="s">
        <v>4</v>
      </c>
      <c r="I370" t="s">
        <v>3647</v>
      </c>
      <c r="J370" t="s">
        <v>4</v>
      </c>
      <c r="K370" t="s">
        <v>4275</v>
      </c>
      <c r="L370" t="s">
        <v>4275</v>
      </c>
      <c r="M370" t="s">
        <v>4276</v>
      </c>
      <c r="N370" t="s">
        <v>697</v>
      </c>
    </row>
    <row r="371" spans="1:14" ht="11.25" customHeight="1" x14ac:dyDescent="0.15">
      <c r="A371" t="s">
        <v>3627</v>
      </c>
      <c r="B371" t="s">
        <v>1</v>
      </c>
      <c r="C371" t="s">
        <v>4321</v>
      </c>
      <c r="D371" t="s">
        <v>4322</v>
      </c>
      <c r="E371" t="s">
        <v>4323</v>
      </c>
      <c r="F371" t="s">
        <v>3832</v>
      </c>
      <c r="G371" t="s">
        <v>4324</v>
      </c>
      <c r="H371" t="s">
        <v>4</v>
      </c>
      <c r="I371" t="s">
        <v>3647</v>
      </c>
      <c r="J371" t="s">
        <v>4</v>
      </c>
      <c r="K371" t="s">
        <v>4275</v>
      </c>
      <c r="L371" t="s">
        <v>4275</v>
      </c>
      <c r="M371" t="s">
        <v>4276</v>
      </c>
      <c r="N371" t="s">
        <v>697</v>
      </c>
    </row>
    <row r="372" spans="1:14" ht="11.25" customHeight="1" x14ac:dyDescent="0.15">
      <c r="A372" t="s">
        <v>3627</v>
      </c>
      <c r="B372" t="s">
        <v>1</v>
      </c>
      <c r="C372" t="s">
        <v>4325</v>
      </c>
      <c r="D372" t="s">
        <v>4326</v>
      </c>
      <c r="E372" t="s">
        <v>4327</v>
      </c>
      <c r="F372" t="s">
        <v>4024</v>
      </c>
      <c r="G372" t="s">
        <v>4328</v>
      </c>
      <c r="H372" t="s">
        <v>4</v>
      </c>
      <c r="I372" t="s">
        <v>3647</v>
      </c>
      <c r="J372" t="s">
        <v>4</v>
      </c>
      <c r="K372" t="s">
        <v>4275</v>
      </c>
      <c r="L372" t="s">
        <v>4275</v>
      </c>
      <c r="M372" t="s">
        <v>4276</v>
      </c>
      <c r="N372" t="s">
        <v>697</v>
      </c>
    </row>
    <row r="373" spans="1:14" ht="11.25" customHeight="1" x14ac:dyDescent="0.15">
      <c r="A373" t="s">
        <v>3627</v>
      </c>
      <c r="B373" t="s">
        <v>1</v>
      </c>
      <c r="C373" t="s">
        <v>4329</v>
      </c>
      <c r="D373" t="s">
        <v>4330</v>
      </c>
      <c r="E373" t="s">
        <v>4331</v>
      </c>
      <c r="F373" t="s">
        <v>4039</v>
      </c>
      <c r="G373" t="s">
        <v>4332</v>
      </c>
      <c r="H373" t="s">
        <v>4</v>
      </c>
      <c r="I373" t="s">
        <v>3647</v>
      </c>
      <c r="J373" t="s">
        <v>4</v>
      </c>
      <c r="K373" t="s">
        <v>4275</v>
      </c>
      <c r="L373" t="s">
        <v>4275</v>
      </c>
      <c r="M373" t="s">
        <v>4276</v>
      </c>
      <c r="N373" t="s">
        <v>697</v>
      </c>
    </row>
    <row r="374" spans="1:14" ht="11.25" customHeight="1" x14ac:dyDescent="0.15">
      <c r="A374" t="s">
        <v>3627</v>
      </c>
      <c r="B374" t="s">
        <v>1</v>
      </c>
      <c r="C374" t="s">
        <v>4333</v>
      </c>
      <c r="D374" t="s">
        <v>4334</v>
      </c>
      <c r="E374" t="s">
        <v>4335</v>
      </c>
      <c r="F374" t="s">
        <v>4018</v>
      </c>
      <c r="G374" t="s">
        <v>4</v>
      </c>
      <c r="H374" t="s">
        <v>4</v>
      </c>
      <c r="I374" t="s">
        <v>3846</v>
      </c>
      <c r="J374" t="s">
        <v>4</v>
      </c>
      <c r="K374" t="s">
        <v>1368</v>
      </c>
      <c r="L374" t="s">
        <v>1368</v>
      </c>
      <c r="M374" t="s">
        <v>4283</v>
      </c>
      <c r="N374" t="s">
        <v>697</v>
      </c>
    </row>
    <row r="375" spans="1:14" ht="11.25" customHeight="1" x14ac:dyDescent="0.15">
      <c r="A375" t="s">
        <v>3627</v>
      </c>
      <c r="B375" t="s">
        <v>1</v>
      </c>
      <c r="C375" t="s">
        <v>4336</v>
      </c>
      <c r="D375" t="s">
        <v>4337</v>
      </c>
      <c r="E375" t="s">
        <v>4338</v>
      </c>
      <c r="F375" t="s">
        <v>4078</v>
      </c>
      <c r="G375" t="s">
        <v>4339</v>
      </c>
      <c r="H375" t="s">
        <v>4</v>
      </c>
      <c r="I375" t="s">
        <v>3647</v>
      </c>
      <c r="J375" t="s">
        <v>4</v>
      </c>
      <c r="K375" t="s">
        <v>4275</v>
      </c>
      <c r="L375" t="s">
        <v>4275</v>
      </c>
      <c r="M375" t="s">
        <v>4276</v>
      </c>
      <c r="N375" t="s">
        <v>697</v>
      </c>
    </row>
    <row r="376" spans="1:14" ht="11.25" customHeight="1" x14ac:dyDescent="0.15">
      <c r="A376" t="s">
        <v>3627</v>
      </c>
      <c r="B376" t="s">
        <v>1</v>
      </c>
      <c r="C376" t="s">
        <v>4340</v>
      </c>
      <c r="D376" t="s">
        <v>4341</v>
      </c>
      <c r="E376" t="s">
        <v>4342</v>
      </c>
      <c r="F376" t="s">
        <v>3674</v>
      </c>
      <c r="G376" t="s">
        <v>4</v>
      </c>
      <c r="H376" t="s">
        <v>4</v>
      </c>
      <c r="I376" t="s">
        <v>4280</v>
      </c>
      <c r="J376" t="s">
        <v>4</v>
      </c>
      <c r="K376" t="s">
        <v>1350</v>
      </c>
      <c r="L376" t="s">
        <v>1350</v>
      </c>
      <c r="M376" t="s">
        <v>4281</v>
      </c>
      <c r="N376" t="s">
        <v>697</v>
      </c>
    </row>
    <row r="377" spans="1:14" ht="11.25" customHeight="1" x14ac:dyDescent="0.15">
      <c r="A377" t="s">
        <v>3627</v>
      </c>
      <c r="B377" t="s">
        <v>1</v>
      </c>
      <c r="C377" t="s">
        <v>4340</v>
      </c>
      <c r="D377" t="s">
        <v>4341</v>
      </c>
      <c r="E377" t="s">
        <v>4342</v>
      </c>
      <c r="F377" t="s">
        <v>3674</v>
      </c>
      <c r="G377" t="s">
        <v>4</v>
      </c>
      <c r="H377" t="s">
        <v>4</v>
      </c>
      <c r="I377" t="s">
        <v>3647</v>
      </c>
      <c r="J377" t="s">
        <v>4</v>
      </c>
      <c r="K377" t="s">
        <v>4275</v>
      </c>
      <c r="L377" t="s">
        <v>4275</v>
      </c>
      <c r="M377" t="s">
        <v>4276</v>
      </c>
      <c r="N377" t="s">
        <v>697</v>
      </c>
    </row>
    <row r="378" spans="1:14" ht="11.25" customHeight="1" x14ac:dyDescent="0.15">
      <c r="A378" t="s">
        <v>3627</v>
      </c>
      <c r="B378" t="s">
        <v>1</v>
      </c>
      <c r="C378" t="s">
        <v>4343</v>
      </c>
      <c r="D378" t="s">
        <v>4344</v>
      </c>
      <c r="E378" t="s">
        <v>4345</v>
      </c>
      <c r="F378" t="s">
        <v>3631</v>
      </c>
      <c r="G378" t="s">
        <v>4346</v>
      </c>
      <c r="H378" t="s">
        <v>4</v>
      </c>
      <c r="I378" t="s">
        <v>3647</v>
      </c>
      <c r="J378" t="s">
        <v>4</v>
      </c>
      <c r="K378" t="s">
        <v>4275</v>
      </c>
      <c r="L378" t="s">
        <v>4275</v>
      </c>
      <c r="M378" t="s">
        <v>4276</v>
      </c>
      <c r="N378" t="s">
        <v>697</v>
      </c>
    </row>
    <row r="379" spans="1:14" ht="11.25" customHeight="1" x14ac:dyDescent="0.15">
      <c r="A379" t="s">
        <v>3627</v>
      </c>
      <c r="B379" t="s">
        <v>1</v>
      </c>
      <c r="C379" t="s">
        <v>4347</v>
      </c>
      <c r="D379" t="s">
        <v>4348</v>
      </c>
      <c r="E379" t="s">
        <v>4349</v>
      </c>
      <c r="F379" t="s">
        <v>4350</v>
      </c>
      <c r="G379" t="s">
        <v>4</v>
      </c>
      <c r="H379" t="s">
        <v>4</v>
      </c>
      <c r="I379" t="s">
        <v>4280</v>
      </c>
      <c r="J379" t="s">
        <v>4</v>
      </c>
      <c r="K379" t="s">
        <v>1350</v>
      </c>
      <c r="L379" t="s">
        <v>1350</v>
      </c>
      <c r="M379" t="s">
        <v>4281</v>
      </c>
      <c r="N379" t="s">
        <v>697</v>
      </c>
    </row>
    <row r="380" spans="1:14" ht="11.25" customHeight="1" x14ac:dyDescent="0.15">
      <c r="A380" t="s">
        <v>3627</v>
      </c>
      <c r="B380" t="s">
        <v>1</v>
      </c>
      <c r="C380" t="s">
        <v>4347</v>
      </c>
      <c r="D380" t="s">
        <v>4348</v>
      </c>
      <c r="E380" t="s">
        <v>4349</v>
      </c>
      <c r="F380" t="s">
        <v>4350</v>
      </c>
      <c r="G380" t="s">
        <v>4</v>
      </c>
      <c r="H380" t="s">
        <v>4</v>
      </c>
      <c r="I380" t="s">
        <v>3647</v>
      </c>
      <c r="J380" t="s">
        <v>4</v>
      </c>
      <c r="K380" t="s">
        <v>4275</v>
      </c>
      <c r="L380" t="s">
        <v>4275</v>
      </c>
      <c r="M380" t="s">
        <v>4276</v>
      </c>
      <c r="N380" t="s">
        <v>697</v>
      </c>
    </row>
    <row r="381" spans="1:14" ht="11.25" customHeight="1" x14ac:dyDescent="0.15">
      <c r="A381" t="s">
        <v>3627</v>
      </c>
      <c r="B381" t="s">
        <v>1</v>
      </c>
      <c r="C381" t="s">
        <v>4351</v>
      </c>
      <c r="D381" t="s">
        <v>4352</v>
      </c>
      <c r="E381" t="s">
        <v>4353</v>
      </c>
      <c r="F381" t="s">
        <v>4034</v>
      </c>
      <c r="G381" t="s">
        <v>4354</v>
      </c>
      <c r="H381" t="s">
        <v>4</v>
      </c>
      <c r="I381" t="s">
        <v>3647</v>
      </c>
      <c r="J381" t="s">
        <v>4</v>
      </c>
      <c r="K381" t="s">
        <v>4275</v>
      </c>
      <c r="L381" t="s">
        <v>4275</v>
      </c>
      <c r="M381" t="s">
        <v>4276</v>
      </c>
      <c r="N381" t="s">
        <v>697</v>
      </c>
    </row>
    <row r="382" spans="1:14" ht="11.25" customHeight="1" x14ac:dyDescent="0.15">
      <c r="A382" t="s">
        <v>3627</v>
      </c>
      <c r="B382" t="s">
        <v>1</v>
      </c>
      <c r="C382" t="s">
        <v>4355</v>
      </c>
      <c r="D382" t="s">
        <v>4356</v>
      </c>
      <c r="E382" t="s">
        <v>4357</v>
      </c>
      <c r="F382" t="s">
        <v>3631</v>
      </c>
      <c r="G382" t="s">
        <v>4358</v>
      </c>
      <c r="H382" t="s">
        <v>4</v>
      </c>
      <c r="I382" t="s">
        <v>3647</v>
      </c>
      <c r="J382" t="s">
        <v>4</v>
      </c>
      <c r="K382" t="s">
        <v>4275</v>
      </c>
      <c r="L382" t="s">
        <v>4275</v>
      </c>
      <c r="M382" t="s">
        <v>4276</v>
      </c>
      <c r="N382" t="s">
        <v>697</v>
      </c>
    </row>
    <row r="383" spans="1:14" ht="11.25" customHeight="1" x14ac:dyDescent="0.15">
      <c r="A383" t="s">
        <v>3627</v>
      </c>
      <c r="B383" t="s">
        <v>1</v>
      </c>
      <c r="C383" t="s">
        <v>4359</v>
      </c>
      <c r="D383" t="s">
        <v>4360</v>
      </c>
      <c r="E383" t="s">
        <v>4361</v>
      </c>
      <c r="F383" t="s">
        <v>3693</v>
      </c>
      <c r="G383" t="s">
        <v>4362</v>
      </c>
      <c r="H383" t="s">
        <v>4</v>
      </c>
      <c r="I383" t="s">
        <v>4363</v>
      </c>
      <c r="J383" t="s">
        <v>4</v>
      </c>
      <c r="K383" t="s">
        <v>4275</v>
      </c>
      <c r="L383" t="s">
        <v>4275</v>
      </c>
      <c r="M383" t="s">
        <v>4276</v>
      </c>
      <c r="N383" t="s">
        <v>697</v>
      </c>
    </row>
    <row r="384" spans="1:14" ht="11.25" customHeight="1" x14ac:dyDescent="0.15">
      <c r="A384" t="s">
        <v>3627</v>
      </c>
      <c r="B384" t="s">
        <v>1</v>
      </c>
      <c r="C384" t="s">
        <v>4364</v>
      </c>
      <c r="D384" t="s">
        <v>4365</v>
      </c>
      <c r="E384" t="s">
        <v>4366</v>
      </c>
      <c r="F384" t="s">
        <v>3993</v>
      </c>
      <c r="G384" t="s">
        <v>4</v>
      </c>
      <c r="H384" t="s">
        <v>4</v>
      </c>
      <c r="I384" t="s">
        <v>3647</v>
      </c>
      <c r="J384" t="s">
        <v>4</v>
      </c>
      <c r="K384" t="s">
        <v>4275</v>
      </c>
      <c r="L384" t="s">
        <v>4275</v>
      </c>
      <c r="M384" t="s">
        <v>4276</v>
      </c>
      <c r="N384" t="s">
        <v>697</v>
      </c>
    </row>
    <row r="385" spans="1:14" ht="11.25" customHeight="1" x14ac:dyDescent="0.15">
      <c r="A385" t="s">
        <v>3627</v>
      </c>
      <c r="B385" t="s">
        <v>1</v>
      </c>
      <c r="C385" t="s">
        <v>4367</v>
      </c>
      <c r="D385" t="s">
        <v>4368</v>
      </c>
      <c r="E385" t="s">
        <v>4369</v>
      </c>
      <c r="F385" t="s">
        <v>3844</v>
      </c>
      <c r="G385" t="s">
        <v>4370</v>
      </c>
      <c r="H385" t="s">
        <v>4</v>
      </c>
      <c r="I385" t="s">
        <v>3647</v>
      </c>
      <c r="J385" t="s">
        <v>4</v>
      </c>
      <c r="K385" t="s">
        <v>4275</v>
      </c>
      <c r="L385" t="s">
        <v>4275</v>
      </c>
      <c r="M385" t="s">
        <v>4276</v>
      </c>
      <c r="N385" t="s">
        <v>697</v>
      </c>
    </row>
    <row r="386" spans="1:14" ht="11.25" customHeight="1" x14ac:dyDescent="0.15">
      <c r="A386" t="s">
        <v>3627</v>
      </c>
      <c r="B386" t="s">
        <v>1</v>
      </c>
      <c r="C386" t="s">
        <v>4158</v>
      </c>
      <c r="D386" t="s">
        <v>4159</v>
      </c>
      <c r="E386" t="s">
        <v>4160</v>
      </c>
      <c r="F386" t="s">
        <v>3862</v>
      </c>
      <c r="G386" t="s">
        <v>4</v>
      </c>
      <c r="H386" t="s">
        <v>4</v>
      </c>
      <c r="I386" t="s">
        <v>3647</v>
      </c>
      <c r="J386" t="s">
        <v>4</v>
      </c>
      <c r="K386" t="s">
        <v>4275</v>
      </c>
      <c r="L386" t="s">
        <v>4275</v>
      </c>
      <c r="M386" t="s">
        <v>4276</v>
      </c>
      <c r="N386" t="s">
        <v>697</v>
      </c>
    </row>
    <row r="387" spans="1:14" ht="11.25" customHeight="1" x14ac:dyDescent="0.15">
      <c r="A387" t="s">
        <v>3627</v>
      </c>
      <c r="B387" t="s">
        <v>1</v>
      </c>
      <c r="C387" t="s">
        <v>4371</v>
      </c>
      <c r="D387" t="s">
        <v>4372</v>
      </c>
      <c r="E387" t="s">
        <v>4373</v>
      </c>
      <c r="F387" t="s">
        <v>3693</v>
      </c>
      <c r="G387" t="s">
        <v>4374</v>
      </c>
      <c r="H387" t="s">
        <v>4</v>
      </c>
      <c r="I387" t="s">
        <v>3647</v>
      </c>
      <c r="J387" t="s">
        <v>4</v>
      </c>
      <c r="K387" t="s">
        <v>4275</v>
      </c>
      <c r="L387" t="s">
        <v>4275</v>
      </c>
      <c r="M387" t="s">
        <v>4276</v>
      </c>
      <c r="N387" t="s">
        <v>697</v>
      </c>
    </row>
    <row r="388" spans="1:14" ht="11.25" customHeight="1" x14ac:dyDescent="0.15">
      <c r="A388" t="s">
        <v>3627</v>
      </c>
      <c r="B388" t="s">
        <v>1</v>
      </c>
      <c r="C388" t="s">
        <v>4375</v>
      </c>
      <c r="D388" t="s">
        <v>4376</v>
      </c>
      <c r="E388" t="s">
        <v>4377</v>
      </c>
      <c r="F388" t="s">
        <v>3850</v>
      </c>
      <c r="G388" t="s">
        <v>4378</v>
      </c>
      <c r="H388" t="s">
        <v>4</v>
      </c>
      <c r="I388" t="s">
        <v>3647</v>
      </c>
      <c r="J388" t="s">
        <v>4</v>
      </c>
      <c r="K388" t="s">
        <v>4275</v>
      </c>
      <c r="L388" t="s">
        <v>4275</v>
      </c>
      <c r="M388" t="s">
        <v>4276</v>
      </c>
      <c r="N388" t="s">
        <v>697</v>
      </c>
    </row>
    <row r="389" spans="1:14" ht="11.25" customHeight="1" x14ac:dyDescent="0.15">
      <c r="A389" t="s">
        <v>3627</v>
      </c>
      <c r="B389" t="s">
        <v>1</v>
      </c>
      <c r="C389" t="s">
        <v>4379</v>
      </c>
      <c r="D389" t="s">
        <v>4380</v>
      </c>
      <c r="E389" t="s">
        <v>4381</v>
      </c>
      <c r="F389" t="s">
        <v>3817</v>
      </c>
      <c r="G389" t="s">
        <v>4382</v>
      </c>
      <c r="H389" t="s">
        <v>4</v>
      </c>
      <c r="I389" t="s">
        <v>3647</v>
      </c>
      <c r="J389" t="s">
        <v>4</v>
      </c>
      <c r="K389" t="s">
        <v>4275</v>
      </c>
      <c r="L389" t="s">
        <v>4275</v>
      </c>
      <c r="M389" t="s">
        <v>4276</v>
      </c>
      <c r="N389" t="s">
        <v>697</v>
      </c>
    </row>
    <row r="390" spans="1:14" ht="11.25" customHeight="1" x14ac:dyDescent="0.15">
      <c r="A390" t="s">
        <v>3627</v>
      </c>
      <c r="B390" t="s">
        <v>1</v>
      </c>
      <c r="C390" t="s">
        <v>4383</v>
      </c>
      <c r="D390" t="s">
        <v>4384</v>
      </c>
      <c r="E390" t="s">
        <v>4385</v>
      </c>
      <c r="F390" t="s">
        <v>3832</v>
      </c>
      <c r="G390" t="s">
        <v>4386</v>
      </c>
      <c r="H390" t="s">
        <v>4</v>
      </c>
      <c r="I390" t="s">
        <v>3647</v>
      </c>
      <c r="J390" t="s">
        <v>4</v>
      </c>
      <c r="K390" t="s">
        <v>4275</v>
      </c>
      <c r="L390" t="s">
        <v>4275</v>
      </c>
      <c r="M390" t="s">
        <v>4276</v>
      </c>
      <c r="N390" t="s">
        <v>697</v>
      </c>
    </row>
    <row r="391" spans="1:14" ht="11.25" customHeight="1" x14ac:dyDescent="0.15">
      <c r="A391" t="s">
        <v>3627</v>
      </c>
      <c r="B391" t="s">
        <v>1</v>
      </c>
      <c r="C391" t="s">
        <v>4387</v>
      </c>
      <c r="D391" t="s">
        <v>4388</v>
      </c>
      <c r="E391" t="s">
        <v>4389</v>
      </c>
      <c r="F391" t="s">
        <v>3740</v>
      </c>
      <c r="G391" t="s">
        <v>4390</v>
      </c>
      <c r="H391" t="s">
        <v>4</v>
      </c>
      <c r="I391" t="s">
        <v>3647</v>
      </c>
      <c r="J391" t="s">
        <v>4</v>
      </c>
      <c r="K391" t="s">
        <v>4275</v>
      </c>
      <c r="L391" t="s">
        <v>4275</v>
      </c>
      <c r="M391" t="s">
        <v>4276</v>
      </c>
      <c r="N391" t="s">
        <v>697</v>
      </c>
    </row>
    <row r="392" spans="1:14" ht="11.25" customHeight="1" x14ac:dyDescent="0.15">
      <c r="A392" t="s">
        <v>3627</v>
      </c>
      <c r="B392" t="s">
        <v>1</v>
      </c>
      <c r="C392" t="s">
        <v>4391</v>
      </c>
      <c r="D392" t="s">
        <v>4392</v>
      </c>
      <c r="E392" t="s">
        <v>4393</v>
      </c>
      <c r="F392" t="s">
        <v>3786</v>
      </c>
      <c r="G392" t="s">
        <v>4394</v>
      </c>
      <c r="H392" t="s">
        <v>4</v>
      </c>
      <c r="I392" t="s">
        <v>3647</v>
      </c>
      <c r="J392" t="s">
        <v>4</v>
      </c>
      <c r="K392" t="s">
        <v>4275</v>
      </c>
      <c r="L392" t="s">
        <v>4275</v>
      </c>
      <c r="M392" t="s">
        <v>4276</v>
      </c>
      <c r="N392" t="s">
        <v>697</v>
      </c>
    </row>
    <row r="393" spans="1:14" ht="11.25" customHeight="1" x14ac:dyDescent="0.15">
      <c r="A393" t="s">
        <v>3627</v>
      </c>
      <c r="B393" t="s">
        <v>1</v>
      </c>
      <c r="C393" t="s">
        <v>4395</v>
      </c>
      <c r="D393" t="s">
        <v>4396</v>
      </c>
      <c r="E393" t="s">
        <v>4397</v>
      </c>
      <c r="F393" t="s">
        <v>3669</v>
      </c>
      <c r="G393" t="s">
        <v>4398</v>
      </c>
      <c r="H393" t="s">
        <v>4</v>
      </c>
      <c r="I393" t="s">
        <v>3647</v>
      </c>
      <c r="J393" t="s">
        <v>4</v>
      </c>
      <c r="K393" t="s">
        <v>4275</v>
      </c>
      <c r="L393" t="s">
        <v>4275</v>
      </c>
      <c r="M393" t="s">
        <v>4276</v>
      </c>
      <c r="N393" t="s">
        <v>697</v>
      </c>
    </row>
    <row r="394" spans="1:14" ht="11.25" customHeight="1" x14ac:dyDescent="0.15">
      <c r="A394" t="s">
        <v>3627</v>
      </c>
      <c r="B394" t="s">
        <v>1</v>
      </c>
      <c r="C394" t="s">
        <v>4399</v>
      </c>
      <c r="D394" t="s">
        <v>4400</v>
      </c>
      <c r="E394" t="s">
        <v>4401</v>
      </c>
      <c r="F394" t="s">
        <v>3786</v>
      </c>
      <c r="G394" t="s">
        <v>4402</v>
      </c>
      <c r="H394" t="s">
        <v>4</v>
      </c>
      <c r="I394" t="s">
        <v>3647</v>
      </c>
      <c r="J394" t="s">
        <v>4</v>
      </c>
      <c r="K394" t="s">
        <v>4275</v>
      </c>
      <c r="L394" t="s">
        <v>4275</v>
      </c>
      <c r="M394" t="s">
        <v>4276</v>
      </c>
      <c r="N394" t="s">
        <v>697</v>
      </c>
    </row>
    <row r="395" spans="1:14" ht="11.25" customHeight="1" x14ac:dyDescent="0.15">
      <c r="A395" t="s">
        <v>3627</v>
      </c>
      <c r="B395" t="s">
        <v>1</v>
      </c>
      <c r="C395" t="s">
        <v>4403</v>
      </c>
      <c r="D395" t="s">
        <v>4404</v>
      </c>
      <c r="E395" t="s">
        <v>4405</v>
      </c>
      <c r="F395" t="s">
        <v>3682</v>
      </c>
      <c r="G395" t="s">
        <v>4406</v>
      </c>
      <c r="H395" t="s">
        <v>4</v>
      </c>
      <c r="I395" t="s">
        <v>3647</v>
      </c>
      <c r="J395" t="s">
        <v>4</v>
      </c>
      <c r="K395" t="s">
        <v>4275</v>
      </c>
      <c r="L395" t="s">
        <v>4275</v>
      </c>
      <c r="M395" t="s">
        <v>4276</v>
      </c>
      <c r="N395" t="s">
        <v>697</v>
      </c>
    </row>
    <row r="396" spans="1:14" ht="11.25" customHeight="1" x14ac:dyDescent="0.15">
      <c r="A396" t="s">
        <v>3627</v>
      </c>
      <c r="B396" t="s">
        <v>1</v>
      </c>
      <c r="C396" t="s">
        <v>4407</v>
      </c>
      <c r="D396" t="s">
        <v>4408</v>
      </c>
      <c r="E396" t="s">
        <v>4409</v>
      </c>
      <c r="F396" t="s">
        <v>3631</v>
      </c>
      <c r="G396" t="s">
        <v>4410</v>
      </c>
      <c r="H396" t="s">
        <v>4</v>
      </c>
      <c r="I396" t="s">
        <v>3647</v>
      </c>
      <c r="J396" t="s">
        <v>4</v>
      </c>
      <c r="K396" t="s">
        <v>4275</v>
      </c>
      <c r="L396" t="s">
        <v>4275</v>
      </c>
      <c r="M396" t="s">
        <v>4276</v>
      </c>
      <c r="N396" t="s">
        <v>697</v>
      </c>
    </row>
    <row r="397" spans="1:14" ht="11.25" customHeight="1" x14ac:dyDescent="0.15">
      <c r="A397" t="s">
        <v>3627</v>
      </c>
      <c r="B397" t="s">
        <v>1</v>
      </c>
      <c r="C397" t="s">
        <v>4411</v>
      </c>
      <c r="D397" t="s">
        <v>4412</v>
      </c>
      <c r="E397" t="s">
        <v>4413</v>
      </c>
      <c r="F397" t="s">
        <v>3631</v>
      </c>
      <c r="G397" t="s">
        <v>4414</v>
      </c>
      <c r="H397" t="s">
        <v>4</v>
      </c>
      <c r="I397" t="s">
        <v>3647</v>
      </c>
      <c r="J397" t="s">
        <v>4</v>
      </c>
      <c r="K397" t="s">
        <v>4275</v>
      </c>
      <c r="L397" t="s">
        <v>4275</v>
      </c>
      <c r="M397" t="s">
        <v>4276</v>
      </c>
      <c r="N397" t="s">
        <v>697</v>
      </c>
    </row>
    <row r="398" spans="1:14" ht="11.25" customHeight="1" x14ac:dyDescent="0.15">
      <c r="A398" t="s">
        <v>3627</v>
      </c>
      <c r="B398" t="s">
        <v>1</v>
      </c>
      <c r="C398" t="s">
        <v>4415</v>
      </c>
      <c r="D398" t="s">
        <v>4416</v>
      </c>
      <c r="E398" t="s">
        <v>4417</v>
      </c>
      <c r="F398" t="s">
        <v>3734</v>
      </c>
      <c r="G398" t="s">
        <v>4418</v>
      </c>
      <c r="H398" t="s">
        <v>4</v>
      </c>
      <c r="I398" t="s">
        <v>3647</v>
      </c>
      <c r="J398" t="s">
        <v>4</v>
      </c>
      <c r="K398" t="s">
        <v>4275</v>
      </c>
      <c r="L398" t="s">
        <v>4275</v>
      </c>
      <c r="M398" t="s">
        <v>4276</v>
      </c>
      <c r="N398" t="s">
        <v>697</v>
      </c>
    </row>
    <row r="399" spans="1:14" ht="11.25" customHeight="1" x14ac:dyDescent="0.15">
      <c r="A399" t="s">
        <v>3627</v>
      </c>
      <c r="B399" t="s">
        <v>1</v>
      </c>
      <c r="C399" t="s">
        <v>4415</v>
      </c>
      <c r="D399" t="s">
        <v>4416</v>
      </c>
      <c r="E399" t="s">
        <v>4417</v>
      </c>
      <c r="F399" t="s">
        <v>3734</v>
      </c>
      <c r="G399" t="s">
        <v>4418</v>
      </c>
      <c r="H399" t="s">
        <v>4</v>
      </c>
      <c r="I399" t="s">
        <v>4363</v>
      </c>
      <c r="J399" t="s">
        <v>4</v>
      </c>
      <c r="K399" t="s">
        <v>4275</v>
      </c>
      <c r="L399" t="s">
        <v>4275</v>
      </c>
      <c r="M399" t="s">
        <v>4276</v>
      </c>
      <c r="N399" t="s">
        <v>697</v>
      </c>
    </row>
    <row r="400" spans="1:14" ht="11.25" customHeight="1" x14ac:dyDescent="0.15">
      <c r="A400" t="s">
        <v>3627</v>
      </c>
      <c r="B400" t="s">
        <v>1</v>
      </c>
      <c r="C400" t="s">
        <v>4419</v>
      </c>
      <c r="D400" t="s">
        <v>4420</v>
      </c>
      <c r="E400" t="s">
        <v>4421</v>
      </c>
      <c r="F400" t="s">
        <v>4187</v>
      </c>
      <c r="G400" t="s">
        <v>4422</v>
      </c>
      <c r="H400" t="s">
        <v>4</v>
      </c>
      <c r="I400" t="s">
        <v>3647</v>
      </c>
      <c r="J400" t="s">
        <v>4</v>
      </c>
      <c r="K400" t="s">
        <v>4275</v>
      </c>
      <c r="L400" t="s">
        <v>4275</v>
      </c>
      <c r="M400" t="s">
        <v>4276</v>
      </c>
      <c r="N400" t="s">
        <v>697</v>
      </c>
    </row>
    <row r="401" spans="1:14" ht="11.25" customHeight="1" x14ac:dyDescent="0.15">
      <c r="A401" t="s">
        <v>3627</v>
      </c>
      <c r="B401" t="s">
        <v>1</v>
      </c>
      <c r="C401" t="s">
        <v>4423</v>
      </c>
      <c r="D401" t="s">
        <v>4424</v>
      </c>
      <c r="E401" t="s">
        <v>4425</v>
      </c>
      <c r="F401" t="s">
        <v>3674</v>
      </c>
      <c r="G401" t="s">
        <v>4</v>
      </c>
      <c r="H401" t="s">
        <v>4</v>
      </c>
      <c r="I401" t="s">
        <v>3647</v>
      </c>
      <c r="J401" t="s">
        <v>4</v>
      </c>
      <c r="K401" t="s">
        <v>4275</v>
      </c>
      <c r="L401" t="s">
        <v>4275</v>
      </c>
      <c r="M401" t="s">
        <v>4276</v>
      </c>
      <c r="N401" t="s">
        <v>697</v>
      </c>
    </row>
    <row r="402" spans="1:14" ht="11.25" customHeight="1" x14ac:dyDescent="0.15">
      <c r="A402" t="s">
        <v>3627</v>
      </c>
      <c r="B402" t="s">
        <v>1</v>
      </c>
      <c r="C402" t="s">
        <v>4426</v>
      </c>
      <c r="D402" t="s">
        <v>4427</v>
      </c>
      <c r="E402" t="s">
        <v>4428</v>
      </c>
      <c r="F402" t="s">
        <v>4243</v>
      </c>
      <c r="G402" t="s">
        <v>4</v>
      </c>
      <c r="H402" t="s">
        <v>4</v>
      </c>
      <c r="I402" t="s">
        <v>4280</v>
      </c>
      <c r="J402" t="s">
        <v>4</v>
      </c>
      <c r="K402" t="s">
        <v>1350</v>
      </c>
      <c r="L402" t="s">
        <v>1350</v>
      </c>
      <c r="M402" t="s">
        <v>4281</v>
      </c>
      <c r="N402" t="s">
        <v>697</v>
      </c>
    </row>
    <row r="403" spans="1:14" ht="11.25" customHeight="1" x14ac:dyDescent="0.15">
      <c r="A403" t="s">
        <v>3627</v>
      </c>
      <c r="B403" t="s">
        <v>1</v>
      </c>
      <c r="C403" t="s">
        <v>4429</v>
      </c>
      <c r="D403" t="s">
        <v>4430</v>
      </c>
      <c r="E403" t="s">
        <v>4431</v>
      </c>
      <c r="F403" t="s">
        <v>3631</v>
      </c>
      <c r="G403" t="s">
        <v>4</v>
      </c>
      <c r="H403" t="s">
        <v>4</v>
      </c>
      <c r="I403" t="s">
        <v>4432</v>
      </c>
      <c r="J403" t="s">
        <v>4</v>
      </c>
      <c r="K403" t="s">
        <v>1350</v>
      </c>
      <c r="L403" t="s">
        <v>1350</v>
      </c>
      <c r="M403" t="s">
        <v>4281</v>
      </c>
      <c r="N403" t="s">
        <v>697</v>
      </c>
    </row>
    <row r="404" spans="1:14" ht="11.25" customHeight="1" x14ac:dyDescent="0.15">
      <c r="A404" t="s">
        <v>3627</v>
      </c>
      <c r="B404" t="s">
        <v>1</v>
      </c>
      <c r="C404" t="s">
        <v>4433</v>
      </c>
      <c r="D404" t="s">
        <v>4434</v>
      </c>
      <c r="E404" t="s">
        <v>4435</v>
      </c>
      <c r="F404" t="s">
        <v>3921</v>
      </c>
      <c r="G404" t="s">
        <v>4</v>
      </c>
      <c r="H404" t="s">
        <v>4</v>
      </c>
      <c r="I404" t="s">
        <v>3647</v>
      </c>
      <c r="J404" t="s">
        <v>4</v>
      </c>
      <c r="K404" t="s">
        <v>4275</v>
      </c>
      <c r="L404" t="s">
        <v>4275</v>
      </c>
      <c r="M404" t="s">
        <v>4276</v>
      </c>
      <c r="N404" t="s">
        <v>697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x14ac:dyDescent="0.15"/>
  <sheetData>
    <row r="1" spans="1:7" ht="11.25" customHeight="1" x14ac:dyDescent="0.15">
      <c r="A1" t="s">
        <v>4436</v>
      </c>
      <c r="B1" t="s">
        <v>4437</v>
      </c>
      <c r="C1" t="s">
        <v>4438</v>
      </c>
      <c r="D1" t="s">
        <v>4439</v>
      </c>
      <c r="E1" t="s">
        <v>4440</v>
      </c>
      <c r="F1" t="s">
        <v>4441</v>
      </c>
      <c r="G1" t="s">
        <v>4442</v>
      </c>
    </row>
    <row r="2" spans="1:7" ht="11.25" customHeight="1" x14ac:dyDescent="0.15">
      <c r="A2" t="s">
        <v>1</v>
      </c>
      <c r="B2" t="s">
        <v>166</v>
      </c>
      <c r="C2" t="s">
        <v>167</v>
      </c>
      <c r="D2" t="s">
        <v>166</v>
      </c>
      <c r="E2" t="s">
        <v>167</v>
      </c>
      <c r="F2" t="s">
        <v>4443</v>
      </c>
      <c r="G2" t="s">
        <v>165</v>
      </c>
    </row>
    <row r="3" spans="1:7" ht="11.25" customHeight="1" x14ac:dyDescent="0.15">
      <c r="A3" t="s">
        <v>1</v>
      </c>
      <c r="B3" t="s">
        <v>347</v>
      </c>
      <c r="C3" t="s">
        <v>348</v>
      </c>
      <c r="D3" t="s">
        <v>347</v>
      </c>
      <c r="E3" t="s">
        <v>348</v>
      </c>
      <c r="F3" t="s">
        <v>4444</v>
      </c>
      <c r="G3" t="s">
        <v>89</v>
      </c>
    </row>
    <row r="4" spans="1:7" ht="11.25" customHeight="1" x14ac:dyDescent="0.15">
      <c r="A4" t="s">
        <v>1</v>
      </c>
      <c r="B4" t="s">
        <v>86</v>
      </c>
      <c r="C4" t="s">
        <v>87</v>
      </c>
      <c r="D4" t="s">
        <v>86</v>
      </c>
      <c r="E4" t="s">
        <v>87</v>
      </c>
      <c r="F4" t="s">
        <v>4444</v>
      </c>
      <c r="G4" t="s">
        <v>77</v>
      </c>
    </row>
    <row r="5" spans="1:7" ht="11.25" customHeight="1" x14ac:dyDescent="0.15">
      <c r="A5" t="s">
        <v>1</v>
      </c>
      <c r="B5" t="s">
        <v>92</v>
      </c>
      <c r="C5" t="s">
        <v>93</v>
      </c>
      <c r="D5" t="s">
        <v>92</v>
      </c>
      <c r="E5" t="s">
        <v>93</v>
      </c>
      <c r="F5" t="s">
        <v>4444</v>
      </c>
      <c r="G5" t="s">
        <v>78</v>
      </c>
    </row>
    <row r="6" spans="1:7" ht="11.25" customHeight="1" x14ac:dyDescent="0.15">
      <c r="A6" t="s">
        <v>1</v>
      </c>
      <c r="B6" t="s">
        <v>135</v>
      </c>
      <c r="C6" t="s">
        <v>136</v>
      </c>
      <c r="D6" t="s">
        <v>135</v>
      </c>
      <c r="E6" t="s">
        <v>136</v>
      </c>
      <c r="F6" t="s">
        <v>4444</v>
      </c>
      <c r="G6" t="s">
        <v>100</v>
      </c>
    </row>
    <row r="7" spans="1:7" ht="11.25" customHeight="1" x14ac:dyDescent="0.15">
      <c r="A7" t="s">
        <v>1</v>
      </c>
      <c r="B7" t="s">
        <v>95</v>
      </c>
      <c r="C7" t="s">
        <v>96</v>
      </c>
      <c r="D7" t="s">
        <v>95</v>
      </c>
      <c r="E7" t="s">
        <v>96</v>
      </c>
      <c r="F7" t="s">
        <v>4444</v>
      </c>
      <c r="G7" t="s">
        <v>79</v>
      </c>
    </row>
    <row r="8" spans="1:7" ht="11.25" customHeight="1" x14ac:dyDescent="0.15">
      <c r="A8" t="s">
        <v>1</v>
      </c>
      <c r="B8" t="s">
        <v>98</v>
      </c>
      <c r="C8" t="s">
        <v>99</v>
      </c>
      <c r="D8" t="s">
        <v>98</v>
      </c>
      <c r="E8" t="s">
        <v>99</v>
      </c>
      <c r="F8" t="s">
        <v>4444</v>
      </c>
      <c r="G8" t="s">
        <v>80</v>
      </c>
    </row>
    <row r="9" spans="1:7" ht="11.25" customHeight="1" x14ac:dyDescent="0.15">
      <c r="A9" t="s">
        <v>1</v>
      </c>
      <c r="B9" t="s">
        <v>103</v>
      </c>
      <c r="C9" t="s">
        <v>4445</v>
      </c>
      <c r="D9" t="s">
        <v>104</v>
      </c>
      <c r="E9" t="s">
        <v>105</v>
      </c>
      <c r="F9" t="s">
        <v>4446</v>
      </c>
      <c r="G9" t="s">
        <v>102</v>
      </c>
    </row>
    <row r="10" spans="1:7" ht="11.25" customHeight="1" x14ac:dyDescent="0.15">
      <c r="A10" t="s">
        <v>1</v>
      </c>
      <c r="B10" t="s">
        <v>103</v>
      </c>
      <c r="C10" t="s">
        <v>4445</v>
      </c>
      <c r="D10" t="s">
        <v>103</v>
      </c>
      <c r="E10" t="s">
        <v>4445</v>
      </c>
      <c r="F10" t="s">
        <v>4447</v>
      </c>
      <c r="G10" t="s">
        <v>133</v>
      </c>
    </row>
    <row r="11" spans="1:7" ht="11.25" customHeight="1" x14ac:dyDescent="0.15">
      <c r="A11" t="s">
        <v>1</v>
      </c>
      <c r="B11" t="s">
        <v>103</v>
      </c>
      <c r="C11" t="s">
        <v>4445</v>
      </c>
      <c r="D11" t="s">
        <v>107</v>
      </c>
      <c r="E11" t="s">
        <v>108</v>
      </c>
      <c r="F11" t="s">
        <v>4446</v>
      </c>
      <c r="G11" t="s">
        <v>106</v>
      </c>
    </row>
    <row r="12" spans="1:7" ht="11.25" customHeight="1" x14ac:dyDescent="0.15">
      <c r="A12" t="s">
        <v>1</v>
      </c>
      <c r="B12" t="s">
        <v>103</v>
      </c>
      <c r="C12" t="s">
        <v>4445</v>
      </c>
      <c r="D12" t="s">
        <v>4448</v>
      </c>
      <c r="E12" t="s">
        <v>4449</v>
      </c>
      <c r="F12" t="s">
        <v>4450</v>
      </c>
      <c r="G12" t="s">
        <v>163</v>
      </c>
    </row>
    <row r="13" spans="1:7" ht="11.25" customHeight="1" x14ac:dyDescent="0.15">
      <c r="A13" t="s">
        <v>1</v>
      </c>
      <c r="B13" t="s">
        <v>103</v>
      </c>
      <c r="C13" t="s">
        <v>4445</v>
      </c>
      <c r="D13" t="s">
        <v>110</v>
      </c>
      <c r="E13" t="s">
        <v>111</v>
      </c>
      <c r="F13" t="s">
        <v>4446</v>
      </c>
      <c r="G13" t="s">
        <v>109</v>
      </c>
    </row>
    <row r="14" spans="1:7" ht="11.25" customHeight="1" x14ac:dyDescent="0.15">
      <c r="A14" t="s">
        <v>1</v>
      </c>
      <c r="B14" t="s">
        <v>103</v>
      </c>
      <c r="C14" t="s">
        <v>4445</v>
      </c>
      <c r="D14" t="s">
        <v>113</v>
      </c>
      <c r="E14" t="s">
        <v>114</v>
      </c>
      <c r="F14" t="s">
        <v>4446</v>
      </c>
      <c r="G14" t="s">
        <v>112</v>
      </c>
    </row>
    <row r="15" spans="1:7" ht="11.25" customHeight="1" x14ac:dyDescent="0.15">
      <c r="A15" t="s">
        <v>1</v>
      </c>
      <c r="B15" t="s">
        <v>103</v>
      </c>
      <c r="C15" t="s">
        <v>4445</v>
      </c>
      <c r="D15" t="s">
        <v>116</v>
      </c>
      <c r="E15" t="s">
        <v>117</v>
      </c>
      <c r="F15" t="s">
        <v>4446</v>
      </c>
      <c r="G15" t="s">
        <v>115</v>
      </c>
    </row>
    <row r="16" spans="1:7" ht="11.25" customHeight="1" x14ac:dyDescent="0.15">
      <c r="A16" t="s">
        <v>1</v>
      </c>
      <c r="B16" t="s">
        <v>103</v>
      </c>
      <c r="C16" t="s">
        <v>4445</v>
      </c>
      <c r="D16" t="s">
        <v>119</v>
      </c>
      <c r="E16" t="s">
        <v>120</v>
      </c>
      <c r="F16" t="s">
        <v>4446</v>
      </c>
      <c r="G16" t="s">
        <v>118</v>
      </c>
    </row>
    <row r="17" spans="1:7" ht="11.25" customHeight="1" x14ac:dyDescent="0.15">
      <c r="A17" t="s">
        <v>1</v>
      </c>
      <c r="B17" t="s">
        <v>170</v>
      </c>
      <c r="C17" t="s">
        <v>171</v>
      </c>
      <c r="D17" t="s">
        <v>170</v>
      </c>
      <c r="E17" t="s">
        <v>171</v>
      </c>
      <c r="F17" t="s">
        <v>4443</v>
      </c>
      <c r="G17" t="s">
        <v>169</v>
      </c>
    </row>
    <row r="18" spans="1:7" ht="11.25" customHeight="1" x14ac:dyDescent="0.15">
      <c r="A18" t="s">
        <v>1</v>
      </c>
      <c r="B18" t="s">
        <v>174</v>
      </c>
      <c r="C18" t="s">
        <v>4451</v>
      </c>
      <c r="D18" t="s">
        <v>4452</v>
      </c>
      <c r="E18" t="s">
        <v>4453</v>
      </c>
      <c r="F18" t="s">
        <v>4446</v>
      </c>
      <c r="G18" t="s">
        <v>241</v>
      </c>
    </row>
    <row r="19" spans="1:7" ht="11.25" customHeight="1" x14ac:dyDescent="0.15">
      <c r="A19" t="s">
        <v>1</v>
      </c>
      <c r="B19" t="s">
        <v>174</v>
      </c>
      <c r="C19" t="s">
        <v>4451</v>
      </c>
      <c r="D19" t="s">
        <v>175</v>
      </c>
      <c r="E19" t="s">
        <v>176</v>
      </c>
      <c r="F19" t="s">
        <v>4454</v>
      </c>
      <c r="G19" t="s">
        <v>173</v>
      </c>
    </row>
    <row r="20" spans="1:7" ht="11.25" customHeight="1" x14ac:dyDescent="0.15">
      <c r="A20" t="s">
        <v>1</v>
      </c>
      <c r="B20" t="s">
        <v>174</v>
      </c>
      <c r="C20" t="s">
        <v>4451</v>
      </c>
      <c r="D20" t="s">
        <v>174</v>
      </c>
      <c r="E20" t="s">
        <v>4451</v>
      </c>
      <c r="F20" t="s">
        <v>4447</v>
      </c>
      <c r="G20" t="s">
        <v>259</v>
      </c>
    </row>
    <row r="21" spans="1:7" ht="11.25" customHeight="1" x14ac:dyDescent="0.15">
      <c r="A21" t="s">
        <v>1</v>
      </c>
      <c r="B21" t="s">
        <v>174</v>
      </c>
      <c r="C21" t="s">
        <v>4451</v>
      </c>
      <c r="D21" t="s">
        <v>178</v>
      </c>
      <c r="E21" t="s">
        <v>179</v>
      </c>
      <c r="F21" t="s">
        <v>4454</v>
      </c>
      <c r="G21" t="s">
        <v>177</v>
      </c>
    </row>
    <row r="22" spans="1:7" ht="11.25" customHeight="1" x14ac:dyDescent="0.15">
      <c r="A22" t="s">
        <v>1</v>
      </c>
      <c r="B22" t="s">
        <v>174</v>
      </c>
      <c r="C22" t="s">
        <v>4451</v>
      </c>
      <c r="D22" t="s">
        <v>181</v>
      </c>
      <c r="E22" t="s">
        <v>182</v>
      </c>
      <c r="F22" t="s">
        <v>4446</v>
      </c>
      <c r="G22" t="s">
        <v>180</v>
      </c>
    </row>
    <row r="23" spans="1:7" ht="11.25" customHeight="1" x14ac:dyDescent="0.15">
      <c r="A23" t="s">
        <v>1</v>
      </c>
      <c r="B23" t="s">
        <v>174</v>
      </c>
      <c r="C23" t="s">
        <v>4451</v>
      </c>
      <c r="D23" t="s">
        <v>4455</v>
      </c>
      <c r="E23" t="s">
        <v>4456</v>
      </c>
      <c r="F23" t="s">
        <v>4450</v>
      </c>
      <c r="G23" t="s">
        <v>272</v>
      </c>
    </row>
    <row r="24" spans="1:7" ht="11.25" customHeight="1" x14ac:dyDescent="0.15">
      <c r="A24" t="s">
        <v>1</v>
      </c>
      <c r="B24" t="s">
        <v>174</v>
      </c>
      <c r="C24" t="s">
        <v>4451</v>
      </c>
      <c r="D24" t="s">
        <v>184</v>
      </c>
      <c r="E24" t="s">
        <v>185</v>
      </c>
      <c r="F24" t="s">
        <v>4446</v>
      </c>
      <c r="G24" t="s">
        <v>183</v>
      </c>
    </row>
    <row r="25" spans="1:7" ht="11.25" customHeight="1" x14ac:dyDescent="0.15">
      <c r="A25" t="s">
        <v>1</v>
      </c>
      <c r="B25" t="s">
        <v>174</v>
      </c>
      <c r="C25" t="s">
        <v>4451</v>
      </c>
      <c r="D25" t="s">
        <v>4457</v>
      </c>
      <c r="E25" t="s">
        <v>4458</v>
      </c>
      <c r="F25" t="s">
        <v>4446</v>
      </c>
      <c r="G25" t="s">
        <v>281</v>
      </c>
    </row>
    <row r="26" spans="1:7" ht="11.25" customHeight="1" x14ac:dyDescent="0.15">
      <c r="A26" t="s">
        <v>1</v>
      </c>
      <c r="B26" t="s">
        <v>4459</v>
      </c>
      <c r="C26" t="s">
        <v>4460</v>
      </c>
      <c r="D26" t="s">
        <v>4459</v>
      </c>
      <c r="E26" t="s">
        <v>4460</v>
      </c>
      <c r="F26" t="s">
        <v>4443</v>
      </c>
      <c r="G26" t="s">
        <v>286</v>
      </c>
    </row>
    <row r="27" spans="1:7" ht="11.25" customHeight="1" x14ac:dyDescent="0.15">
      <c r="A27" t="s">
        <v>1</v>
      </c>
      <c r="B27" t="s">
        <v>188</v>
      </c>
      <c r="C27" t="s">
        <v>4461</v>
      </c>
      <c r="D27" t="s">
        <v>4462</v>
      </c>
      <c r="E27" t="s">
        <v>4463</v>
      </c>
      <c r="F27" t="s">
        <v>4454</v>
      </c>
      <c r="G27" t="s">
        <v>303</v>
      </c>
    </row>
    <row r="28" spans="1:7" ht="11.25" customHeight="1" x14ac:dyDescent="0.15">
      <c r="A28" t="s">
        <v>1</v>
      </c>
      <c r="B28" t="s">
        <v>188</v>
      </c>
      <c r="C28" t="s">
        <v>4461</v>
      </c>
      <c r="D28" t="s">
        <v>189</v>
      </c>
      <c r="E28" t="s">
        <v>190</v>
      </c>
      <c r="F28" t="s">
        <v>4446</v>
      </c>
      <c r="G28" t="s">
        <v>187</v>
      </c>
    </row>
    <row r="29" spans="1:7" ht="11.25" customHeight="1" x14ac:dyDescent="0.15">
      <c r="A29" t="s">
        <v>1</v>
      </c>
      <c r="B29" t="s">
        <v>188</v>
      </c>
      <c r="C29" t="s">
        <v>4461</v>
      </c>
      <c r="D29" t="s">
        <v>192</v>
      </c>
      <c r="E29" t="s">
        <v>193</v>
      </c>
      <c r="F29" t="s">
        <v>4446</v>
      </c>
      <c r="G29" t="s">
        <v>191</v>
      </c>
    </row>
    <row r="30" spans="1:7" ht="11.25" customHeight="1" x14ac:dyDescent="0.15">
      <c r="A30" t="s">
        <v>1</v>
      </c>
      <c r="B30" t="s">
        <v>188</v>
      </c>
      <c r="C30" t="s">
        <v>4461</v>
      </c>
      <c r="D30" t="s">
        <v>195</v>
      </c>
      <c r="E30" t="s">
        <v>196</v>
      </c>
      <c r="F30" t="s">
        <v>4446</v>
      </c>
      <c r="G30" t="s">
        <v>194</v>
      </c>
    </row>
    <row r="31" spans="1:7" ht="11.25" customHeight="1" x14ac:dyDescent="0.15">
      <c r="A31" t="s">
        <v>1</v>
      </c>
      <c r="B31" t="s">
        <v>188</v>
      </c>
      <c r="C31" t="s">
        <v>4461</v>
      </c>
      <c r="D31" t="s">
        <v>198</v>
      </c>
      <c r="E31" t="s">
        <v>199</v>
      </c>
      <c r="F31" t="s">
        <v>4446</v>
      </c>
      <c r="G31" t="s">
        <v>197</v>
      </c>
    </row>
    <row r="32" spans="1:7" ht="11.25" customHeight="1" x14ac:dyDescent="0.15">
      <c r="A32" t="s">
        <v>1</v>
      </c>
      <c r="B32" t="s">
        <v>188</v>
      </c>
      <c r="C32" t="s">
        <v>4461</v>
      </c>
      <c r="D32" t="s">
        <v>188</v>
      </c>
      <c r="E32" t="s">
        <v>4461</v>
      </c>
      <c r="F32" t="s">
        <v>4447</v>
      </c>
      <c r="G32" t="s">
        <v>344</v>
      </c>
    </row>
    <row r="33" spans="1:7" ht="11.25" customHeight="1" x14ac:dyDescent="0.15">
      <c r="A33" t="s">
        <v>1</v>
      </c>
      <c r="B33" t="s">
        <v>188</v>
      </c>
      <c r="C33" t="s">
        <v>4461</v>
      </c>
      <c r="D33" t="s">
        <v>201</v>
      </c>
      <c r="E33" t="s">
        <v>202</v>
      </c>
      <c r="F33" t="s">
        <v>4446</v>
      </c>
      <c r="G33" t="s">
        <v>200</v>
      </c>
    </row>
    <row r="34" spans="1:7" ht="11.25" customHeight="1" x14ac:dyDescent="0.15">
      <c r="A34" t="s">
        <v>1</v>
      </c>
      <c r="B34" t="s">
        <v>188</v>
      </c>
      <c r="C34" t="s">
        <v>4461</v>
      </c>
      <c r="D34" t="s">
        <v>204</v>
      </c>
      <c r="E34" t="s">
        <v>205</v>
      </c>
      <c r="F34" t="s">
        <v>4446</v>
      </c>
      <c r="G34" t="s">
        <v>203</v>
      </c>
    </row>
    <row r="35" spans="1:7" ht="11.25" customHeight="1" x14ac:dyDescent="0.15">
      <c r="A35" t="s">
        <v>1</v>
      </c>
      <c r="B35" t="s">
        <v>188</v>
      </c>
      <c r="C35" t="s">
        <v>4461</v>
      </c>
      <c r="D35" t="s">
        <v>207</v>
      </c>
      <c r="E35" t="s">
        <v>208</v>
      </c>
      <c r="F35" t="s">
        <v>4446</v>
      </c>
      <c r="G35" t="s">
        <v>206</v>
      </c>
    </row>
    <row r="36" spans="1:7" ht="11.25" customHeight="1" x14ac:dyDescent="0.15">
      <c r="A36" t="s">
        <v>1</v>
      </c>
      <c r="B36" t="s">
        <v>188</v>
      </c>
      <c r="C36" t="s">
        <v>4461</v>
      </c>
      <c r="D36" t="s">
        <v>210</v>
      </c>
      <c r="E36" t="s">
        <v>211</v>
      </c>
      <c r="F36" t="s">
        <v>4446</v>
      </c>
      <c r="G36" t="s">
        <v>209</v>
      </c>
    </row>
    <row r="37" spans="1:7" ht="11.25" customHeight="1" x14ac:dyDescent="0.15">
      <c r="A37" t="s">
        <v>1</v>
      </c>
      <c r="B37" t="s">
        <v>188</v>
      </c>
      <c r="C37" t="s">
        <v>4461</v>
      </c>
      <c r="D37" t="s">
        <v>4464</v>
      </c>
      <c r="E37" t="s">
        <v>4465</v>
      </c>
      <c r="F37" t="s">
        <v>4446</v>
      </c>
      <c r="G37" t="s">
        <v>1426</v>
      </c>
    </row>
    <row r="38" spans="1:7" ht="11.25" customHeight="1" x14ac:dyDescent="0.15">
      <c r="A38" t="s">
        <v>1</v>
      </c>
      <c r="B38" t="s">
        <v>214</v>
      </c>
      <c r="C38" t="s">
        <v>215</v>
      </c>
      <c r="D38" t="s">
        <v>214</v>
      </c>
      <c r="E38" t="s">
        <v>215</v>
      </c>
      <c r="F38" t="s">
        <v>4443</v>
      </c>
      <c r="G38" t="s">
        <v>213</v>
      </c>
    </row>
    <row r="39" spans="1:7" ht="11.25" customHeight="1" x14ac:dyDescent="0.15">
      <c r="A39" t="s">
        <v>1</v>
      </c>
      <c r="B39" t="s">
        <v>123</v>
      </c>
      <c r="C39" t="s">
        <v>124</v>
      </c>
      <c r="D39" t="s">
        <v>123</v>
      </c>
      <c r="E39" t="s">
        <v>124</v>
      </c>
      <c r="F39" t="s">
        <v>4444</v>
      </c>
      <c r="G39" t="s">
        <v>122</v>
      </c>
    </row>
    <row r="40" spans="1:7" ht="11.25" customHeight="1" x14ac:dyDescent="0.15">
      <c r="A40" t="s">
        <v>1</v>
      </c>
      <c r="B40" t="s">
        <v>218</v>
      </c>
      <c r="C40" t="s">
        <v>228</v>
      </c>
      <c r="D40" t="s">
        <v>219</v>
      </c>
      <c r="E40" t="s">
        <v>220</v>
      </c>
      <c r="F40" t="s">
        <v>4446</v>
      </c>
      <c r="G40" t="s">
        <v>217</v>
      </c>
    </row>
    <row r="41" spans="1:7" ht="11.25" customHeight="1" x14ac:dyDescent="0.15">
      <c r="A41" t="s">
        <v>1</v>
      </c>
      <c r="B41" t="s">
        <v>218</v>
      </c>
      <c r="C41" t="s">
        <v>228</v>
      </c>
      <c r="D41" t="s">
        <v>222</v>
      </c>
      <c r="E41" t="s">
        <v>223</v>
      </c>
      <c r="F41" t="s">
        <v>4446</v>
      </c>
      <c r="G41" t="s">
        <v>221</v>
      </c>
    </row>
    <row r="42" spans="1:7" ht="11.25" customHeight="1" x14ac:dyDescent="0.15">
      <c r="A42" t="s">
        <v>1</v>
      </c>
      <c r="B42" t="s">
        <v>218</v>
      </c>
      <c r="C42" t="s">
        <v>228</v>
      </c>
      <c r="D42" t="s">
        <v>225</v>
      </c>
      <c r="E42" t="s">
        <v>226</v>
      </c>
      <c r="F42" t="s">
        <v>4446</v>
      </c>
      <c r="G42" t="s">
        <v>224</v>
      </c>
    </row>
    <row r="43" spans="1:7" ht="11.25" customHeight="1" x14ac:dyDescent="0.15">
      <c r="A43" t="s">
        <v>1</v>
      </c>
      <c r="B43" t="s">
        <v>218</v>
      </c>
      <c r="C43" t="s">
        <v>228</v>
      </c>
      <c r="D43" t="s">
        <v>218</v>
      </c>
      <c r="E43" t="s">
        <v>228</v>
      </c>
      <c r="F43" t="s">
        <v>4447</v>
      </c>
      <c r="G43" t="s">
        <v>227</v>
      </c>
    </row>
    <row r="44" spans="1:7" ht="11.25" customHeight="1" x14ac:dyDescent="0.15">
      <c r="A44" t="s">
        <v>1</v>
      </c>
      <c r="B44" t="s">
        <v>218</v>
      </c>
      <c r="C44" t="s">
        <v>228</v>
      </c>
      <c r="D44" t="s">
        <v>239</v>
      </c>
      <c r="E44" t="s">
        <v>240</v>
      </c>
      <c r="F44" t="s">
        <v>4446</v>
      </c>
      <c r="G44" t="s">
        <v>238</v>
      </c>
    </row>
    <row r="45" spans="1:7" ht="11.25" customHeight="1" x14ac:dyDescent="0.15">
      <c r="A45" t="s">
        <v>1</v>
      </c>
      <c r="B45" t="s">
        <v>218</v>
      </c>
      <c r="C45" t="s">
        <v>228</v>
      </c>
      <c r="D45" t="s">
        <v>230</v>
      </c>
      <c r="E45" t="s">
        <v>231</v>
      </c>
      <c r="F45" t="s">
        <v>4454</v>
      </c>
      <c r="G45" t="s">
        <v>229</v>
      </c>
    </row>
    <row r="46" spans="1:7" ht="11.25" customHeight="1" x14ac:dyDescent="0.15">
      <c r="A46" t="s">
        <v>1</v>
      </c>
      <c r="B46" t="s">
        <v>218</v>
      </c>
      <c r="C46" t="s">
        <v>228</v>
      </c>
      <c r="D46" t="s">
        <v>233</v>
      </c>
      <c r="E46" t="s">
        <v>234</v>
      </c>
      <c r="F46" t="s">
        <v>4446</v>
      </c>
      <c r="G46" t="s">
        <v>232</v>
      </c>
    </row>
    <row r="47" spans="1:7" ht="11.25" customHeight="1" x14ac:dyDescent="0.15">
      <c r="A47" t="s">
        <v>1</v>
      </c>
      <c r="B47" t="s">
        <v>218</v>
      </c>
      <c r="C47" t="s">
        <v>228</v>
      </c>
      <c r="D47" t="s">
        <v>236</v>
      </c>
      <c r="E47" t="s">
        <v>237</v>
      </c>
      <c r="F47" t="s">
        <v>4446</v>
      </c>
      <c r="G47" t="s">
        <v>235</v>
      </c>
    </row>
    <row r="48" spans="1:7" ht="11.25" customHeight="1" x14ac:dyDescent="0.15">
      <c r="A48" t="s">
        <v>1</v>
      </c>
      <c r="B48" t="s">
        <v>244</v>
      </c>
      <c r="C48" t="s">
        <v>254</v>
      </c>
      <c r="D48" t="s">
        <v>244</v>
      </c>
      <c r="E48" t="s">
        <v>254</v>
      </c>
      <c r="F48" t="s">
        <v>4447</v>
      </c>
      <c r="G48" t="s">
        <v>253</v>
      </c>
    </row>
    <row r="49" spans="1:7" ht="11.25" customHeight="1" x14ac:dyDescent="0.15">
      <c r="A49" t="s">
        <v>1</v>
      </c>
      <c r="B49" t="s">
        <v>244</v>
      </c>
      <c r="C49" t="s">
        <v>254</v>
      </c>
      <c r="D49" t="s">
        <v>245</v>
      </c>
      <c r="E49" t="s">
        <v>246</v>
      </c>
      <c r="F49" t="s">
        <v>4446</v>
      </c>
      <c r="G49" t="s">
        <v>243</v>
      </c>
    </row>
    <row r="50" spans="1:7" ht="11.25" customHeight="1" x14ac:dyDescent="0.15">
      <c r="A50" t="s">
        <v>1</v>
      </c>
      <c r="B50" t="s">
        <v>244</v>
      </c>
      <c r="C50" t="s">
        <v>254</v>
      </c>
      <c r="D50" t="s">
        <v>248</v>
      </c>
      <c r="E50" t="s">
        <v>249</v>
      </c>
      <c r="F50" t="s">
        <v>4446</v>
      </c>
      <c r="G50" t="s">
        <v>247</v>
      </c>
    </row>
    <row r="51" spans="1:7" ht="11.25" customHeight="1" x14ac:dyDescent="0.15">
      <c r="A51" t="s">
        <v>1</v>
      </c>
      <c r="B51" t="s">
        <v>244</v>
      </c>
      <c r="C51" t="s">
        <v>254</v>
      </c>
      <c r="D51" t="s">
        <v>251</v>
      </c>
      <c r="E51" t="s">
        <v>252</v>
      </c>
      <c r="F51" t="s">
        <v>4446</v>
      </c>
      <c r="G51" t="s">
        <v>250</v>
      </c>
    </row>
    <row r="52" spans="1:7" ht="11.25" customHeight="1" x14ac:dyDescent="0.15">
      <c r="A52" t="s">
        <v>1</v>
      </c>
      <c r="B52" t="s">
        <v>127</v>
      </c>
      <c r="C52" t="s">
        <v>128</v>
      </c>
      <c r="D52" t="s">
        <v>127</v>
      </c>
      <c r="E52" t="s">
        <v>128</v>
      </c>
      <c r="F52" t="s">
        <v>4444</v>
      </c>
      <c r="G52" t="s">
        <v>126</v>
      </c>
    </row>
    <row r="53" spans="1:7" ht="11.25" customHeight="1" x14ac:dyDescent="0.15">
      <c r="A53" t="s">
        <v>1</v>
      </c>
      <c r="B53" t="s">
        <v>257</v>
      </c>
      <c r="C53" t="s">
        <v>258</v>
      </c>
      <c r="D53" t="s">
        <v>257</v>
      </c>
      <c r="E53" t="s">
        <v>258</v>
      </c>
      <c r="F53" t="s">
        <v>4443</v>
      </c>
      <c r="G53" t="s">
        <v>256</v>
      </c>
    </row>
    <row r="54" spans="1:7" ht="11.25" customHeight="1" x14ac:dyDescent="0.15">
      <c r="A54" t="s">
        <v>1</v>
      </c>
      <c r="B54" t="s">
        <v>262</v>
      </c>
      <c r="C54" t="s">
        <v>263</v>
      </c>
      <c r="D54" t="s">
        <v>262</v>
      </c>
      <c r="E54" t="s">
        <v>263</v>
      </c>
      <c r="F54" t="s">
        <v>4443</v>
      </c>
      <c r="G54" t="s">
        <v>261</v>
      </c>
    </row>
    <row r="55" spans="1:7" ht="11.25" customHeight="1" x14ac:dyDescent="0.15">
      <c r="A55" t="s">
        <v>1</v>
      </c>
      <c r="B55" t="s">
        <v>131</v>
      </c>
      <c r="C55" t="s">
        <v>132</v>
      </c>
      <c r="D55" t="s">
        <v>131</v>
      </c>
      <c r="E55" t="s">
        <v>132</v>
      </c>
      <c r="F55" t="s">
        <v>4444</v>
      </c>
      <c r="G55" t="s">
        <v>130</v>
      </c>
    </row>
    <row r="56" spans="1:7" ht="11.25" customHeight="1" x14ac:dyDescent="0.15">
      <c r="A56" t="s">
        <v>1</v>
      </c>
      <c r="B56" t="s">
        <v>4466</v>
      </c>
      <c r="C56" t="s">
        <v>4467</v>
      </c>
      <c r="D56" t="s">
        <v>4466</v>
      </c>
      <c r="E56" t="s">
        <v>4467</v>
      </c>
      <c r="F56" t="s">
        <v>4443</v>
      </c>
      <c r="G56" t="s">
        <v>1504</v>
      </c>
    </row>
    <row r="57" spans="1:7" ht="11.25" customHeight="1" x14ac:dyDescent="0.15">
      <c r="A57" t="s">
        <v>1</v>
      </c>
      <c r="B57" t="s">
        <v>4468</v>
      </c>
      <c r="C57" t="s">
        <v>4469</v>
      </c>
      <c r="D57" t="s">
        <v>4470</v>
      </c>
      <c r="E57" t="s">
        <v>4471</v>
      </c>
      <c r="F57" t="s">
        <v>4446</v>
      </c>
      <c r="G57" t="s">
        <v>1507</v>
      </c>
    </row>
    <row r="58" spans="1:7" ht="11.25" customHeight="1" x14ac:dyDescent="0.15">
      <c r="A58" t="s">
        <v>1</v>
      </c>
      <c r="B58" t="s">
        <v>4468</v>
      </c>
      <c r="C58" t="s">
        <v>4469</v>
      </c>
      <c r="D58" t="s">
        <v>4472</v>
      </c>
      <c r="E58" t="s">
        <v>4473</v>
      </c>
      <c r="F58" t="s">
        <v>4446</v>
      </c>
      <c r="G58" t="s">
        <v>1510</v>
      </c>
    </row>
    <row r="59" spans="1:7" ht="11.25" customHeight="1" x14ac:dyDescent="0.15">
      <c r="A59" t="s">
        <v>1</v>
      </c>
      <c r="B59" t="s">
        <v>4468</v>
      </c>
      <c r="C59" t="s">
        <v>4469</v>
      </c>
      <c r="D59" t="s">
        <v>4474</v>
      </c>
      <c r="E59" t="s">
        <v>4475</v>
      </c>
      <c r="F59" t="s">
        <v>4446</v>
      </c>
      <c r="G59" t="s">
        <v>1514</v>
      </c>
    </row>
    <row r="60" spans="1:7" ht="11.25" customHeight="1" x14ac:dyDescent="0.15">
      <c r="A60" t="s">
        <v>1</v>
      </c>
      <c r="B60" t="s">
        <v>4468</v>
      </c>
      <c r="C60" t="s">
        <v>4469</v>
      </c>
      <c r="D60" t="s">
        <v>4476</v>
      </c>
      <c r="E60" t="s">
        <v>4477</v>
      </c>
      <c r="F60" t="s">
        <v>4450</v>
      </c>
      <c r="G60" t="s">
        <v>1517</v>
      </c>
    </row>
    <row r="61" spans="1:7" ht="11.25" customHeight="1" x14ac:dyDescent="0.15">
      <c r="A61" t="s">
        <v>1</v>
      </c>
      <c r="B61" t="s">
        <v>4468</v>
      </c>
      <c r="C61" t="s">
        <v>4469</v>
      </c>
      <c r="D61" t="s">
        <v>4478</v>
      </c>
      <c r="E61" t="s">
        <v>4479</v>
      </c>
      <c r="F61" t="s">
        <v>4446</v>
      </c>
      <c r="G61" t="s">
        <v>4480</v>
      </c>
    </row>
    <row r="62" spans="1:7" ht="11.25" customHeight="1" x14ac:dyDescent="0.15">
      <c r="A62" t="s">
        <v>1</v>
      </c>
      <c r="B62" t="s">
        <v>4468</v>
      </c>
      <c r="C62" t="s">
        <v>4469</v>
      </c>
      <c r="D62" t="s">
        <v>4481</v>
      </c>
      <c r="E62" t="s">
        <v>4482</v>
      </c>
      <c r="F62" t="s">
        <v>4446</v>
      </c>
      <c r="G62" t="s">
        <v>4483</v>
      </c>
    </row>
    <row r="63" spans="1:7" ht="11.25" customHeight="1" x14ac:dyDescent="0.15">
      <c r="A63" t="s">
        <v>1</v>
      </c>
      <c r="B63" t="s">
        <v>4468</v>
      </c>
      <c r="C63" t="s">
        <v>4469</v>
      </c>
      <c r="D63" t="s">
        <v>4468</v>
      </c>
      <c r="E63" t="s">
        <v>4469</v>
      </c>
      <c r="F63" t="s">
        <v>4447</v>
      </c>
      <c r="G63" t="s">
        <v>4484</v>
      </c>
    </row>
    <row r="64" spans="1:7" ht="11.25" customHeight="1" x14ac:dyDescent="0.15">
      <c r="A64" t="s">
        <v>1</v>
      </c>
      <c r="B64" t="s">
        <v>4468</v>
      </c>
      <c r="C64" t="s">
        <v>4469</v>
      </c>
      <c r="D64" t="s">
        <v>4485</v>
      </c>
      <c r="E64" t="s">
        <v>4486</v>
      </c>
      <c r="F64" t="s">
        <v>4446</v>
      </c>
      <c r="G64" t="s">
        <v>4487</v>
      </c>
    </row>
    <row r="65" spans="1:7" ht="11.25" customHeight="1" x14ac:dyDescent="0.15">
      <c r="A65" t="s">
        <v>1</v>
      </c>
      <c r="B65" t="s">
        <v>266</v>
      </c>
      <c r="C65" t="s">
        <v>267</v>
      </c>
      <c r="D65" t="s">
        <v>266</v>
      </c>
      <c r="E65" t="s">
        <v>267</v>
      </c>
      <c r="F65" t="s">
        <v>4443</v>
      </c>
      <c r="G65" t="s">
        <v>265</v>
      </c>
    </row>
    <row r="66" spans="1:7" ht="11.25" customHeight="1" x14ac:dyDescent="0.15">
      <c r="A66" t="s">
        <v>1</v>
      </c>
      <c r="B66" t="s">
        <v>270</v>
      </c>
      <c r="C66" t="s">
        <v>271</v>
      </c>
      <c r="D66" t="s">
        <v>270</v>
      </c>
      <c r="E66" t="s">
        <v>271</v>
      </c>
      <c r="F66" t="s">
        <v>4443</v>
      </c>
      <c r="G66" t="s">
        <v>269</v>
      </c>
    </row>
    <row r="67" spans="1:7" ht="11.25" customHeight="1" x14ac:dyDescent="0.15">
      <c r="A67" t="s">
        <v>1</v>
      </c>
      <c r="B67" t="s">
        <v>139</v>
      </c>
      <c r="C67" t="s">
        <v>4488</v>
      </c>
      <c r="D67" t="s">
        <v>140</v>
      </c>
      <c r="E67" t="s">
        <v>141</v>
      </c>
      <c r="F67" t="s">
        <v>4446</v>
      </c>
      <c r="G67" t="s">
        <v>138</v>
      </c>
    </row>
    <row r="68" spans="1:7" ht="11.25" customHeight="1" x14ac:dyDescent="0.15">
      <c r="A68" t="s">
        <v>1</v>
      </c>
      <c r="B68" t="s">
        <v>139</v>
      </c>
      <c r="C68" t="s">
        <v>4488</v>
      </c>
      <c r="D68" t="s">
        <v>143</v>
      </c>
      <c r="E68" t="s">
        <v>144</v>
      </c>
      <c r="F68" t="s">
        <v>4446</v>
      </c>
      <c r="G68" t="s">
        <v>142</v>
      </c>
    </row>
    <row r="69" spans="1:7" ht="11.25" customHeight="1" x14ac:dyDescent="0.15">
      <c r="A69" t="s">
        <v>1</v>
      </c>
      <c r="B69" t="s">
        <v>139</v>
      </c>
      <c r="C69" t="s">
        <v>4488</v>
      </c>
      <c r="D69" t="s">
        <v>146</v>
      </c>
      <c r="E69" t="s">
        <v>147</v>
      </c>
      <c r="F69" t="s">
        <v>4446</v>
      </c>
      <c r="G69" t="s">
        <v>145</v>
      </c>
    </row>
    <row r="70" spans="1:7" ht="11.25" customHeight="1" x14ac:dyDescent="0.15">
      <c r="A70" t="s">
        <v>1</v>
      </c>
      <c r="B70" t="s">
        <v>139</v>
      </c>
      <c r="C70" t="s">
        <v>4488</v>
      </c>
      <c r="D70" t="s">
        <v>149</v>
      </c>
      <c r="E70" t="s">
        <v>150</v>
      </c>
      <c r="F70" t="s">
        <v>4446</v>
      </c>
      <c r="G70" t="s">
        <v>148</v>
      </c>
    </row>
    <row r="71" spans="1:7" ht="11.25" customHeight="1" x14ac:dyDescent="0.15">
      <c r="A71" t="s">
        <v>1</v>
      </c>
      <c r="B71" t="s">
        <v>139</v>
      </c>
      <c r="C71" t="s">
        <v>4488</v>
      </c>
      <c r="D71" t="s">
        <v>152</v>
      </c>
      <c r="E71" t="s">
        <v>153</v>
      </c>
      <c r="F71" t="s">
        <v>4446</v>
      </c>
      <c r="G71" t="s">
        <v>151</v>
      </c>
    </row>
    <row r="72" spans="1:7" ht="11.25" customHeight="1" x14ac:dyDescent="0.15">
      <c r="A72" t="s">
        <v>1</v>
      </c>
      <c r="B72" t="s">
        <v>139</v>
      </c>
      <c r="C72" t="s">
        <v>4488</v>
      </c>
      <c r="D72" t="s">
        <v>139</v>
      </c>
      <c r="E72" t="s">
        <v>4488</v>
      </c>
      <c r="F72" t="s">
        <v>4447</v>
      </c>
      <c r="G72" t="s">
        <v>4489</v>
      </c>
    </row>
    <row r="73" spans="1:7" ht="11.25" customHeight="1" x14ac:dyDescent="0.15">
      <c r="A73" t="s">
        <v>1</v>
      </c>
      <c r="B73" t="s">
        <v>139</v>
      </c>
      <c r="C73" t="s">
        <v>4488</v>
      </c>
      <c r="D73" t="s">
        <v>155</v>
      </c>
      <c r="E73" t="s">
        <v>156</v>
      </c>
      <c r="F73" t="s">
        <v>4446</v>
      </c>
      <c r="G73" t="s">
        <v>154</v>
      </c>
    </row>
    <row r="74" spans="1:7" ht="11.25" customHeight="1" x14ac:dyDescent="0.15">
      <c r="A74" t="s">
        <v>1</v>
      </c>
      <c r="B74" t="s">
        <v>139</v>
      </c>
      <c r="C74" t="s">
        <v>4488</v>
      </c>
      <c r="D74" t="s">
        <v>158</v>
      </c>
      <c r="E74" t="s">
        <v>159</v>
      </c>
      <c r="F74" t="s">
        <v>4446</v>
      </c>
      <c r="G74" t="s">
        <v>157</v>
      </c>
    </row>
    <row r="75" spans="1:7" ht="11.25" customHeight="1" x14ac:dyDescent="0.15">
      <c r="A75" t="s">
        <v>1</v>
      </c>
      <c r="B75" t="s">
        <v>139</v>
      </c>
      <c r="C75" t="s">
        <v>4488</v>
      </c>
      <c r="D75" t="s">
        <v>161</v>
      </c>
      <c r="E75" t="s">
        <v>162</v>
      </c>
      <c r="F75" t="s">
        <v>4446</v>
      </c>
      <c r="G75" t="s">
        <v>160</v>
      </c>
    </row>
    <row r="76" spans="1:7" ht="11.25" customHeight="1" x14ac:dyDescent="0.15">
      <c r="A76" t="s">
        <v>1</v>
      </c>
      <c r="B76" t="s">
        <v>4490</v>
      </c>
      <c r="C76" t="s">
        <v>4491</v>
      </c>
      <c r="D76" t="s">
        <v>4490</v>
      </c>
      <c r="E76" t="s">
        <v>4491</v>
      </c>
      <c r="F76" t="s">
        <v>4443</v>
      </c>
      <c r="G76" t="s">
        <v>4492</v>
      </c>
    </row>
    <row r="77" spans="1:7" ht="11.25" customHeight="1" x14ac:dyDescent="0.15">
      <c r="A77" t="s">
        <v>1</v>
      </c>
      <c r="B77" t="s">
        <v>4493</v>
      </c>
      <c r="C77" t="s">
        <v>4494</v>
      </c>
      <c r="D77" t="s">
        <v>4493</v>
      </c>
      <c r="E77" t="s">
        <v>4494</v>
      </c>
      <c r="F77" t="s">
        <v>4444</v>
      </c>
      <c r="G77" t="s">
        <v>4495</v>
      </c>
    </row>
    <row r="78" spans="1:7" ht="11.25" customHeight="1" x14ac:dyDescent="0.15">
      <c r="A78" t="s">
        <v>1</v>
      </c>
      <c r="B78" t="s">
        <v>275</v>
      </c>
      <c r="C78" t="s">
        <v>276</v>
      </c>
      <c r="D78" t="s">
        <v>275</v>
      </c>
      <c r="E78" t="s">
        <v>276</v>
      </c>
      <c r="F78" t="s">
        <v>4443</v>
      </c>
      <c r="G78" t="s">
        <v>274</v>
      </c>
    </row>
    <row r="79" spans="1:7" ht="11.25" customHeight="1" x14ac:dyDescent="0.15">
      <c r="A79" t="s">
        <v>1</v>
      </c>
      <c r="B79" t="s">
        <v>279</v>
      </c>
      <c r="C79" t="s">
        <v>280</v>
      </c>
      <c r="D79" t="s">
        <v>279</v>
      </c>
      <c r="E79" t="s">
        <v>280</v>
      </c>
      <c r="F79" t="s">
        <v>4443</v>
      </c>
      <c r="G79" t="s">
        <v>278</v>
      </c>
    </row>
    <row r="80" spans="1:7" ht="11.25" customHeight="1" x14ac:dyDescent="0.15">
      <c r="A80" t="s">
        <v>1</v>
      </c>
      <c r="B80" t="s">
        <v>284</v>
      </c>
      <c r="C80" t="s">
        <v>285</v>
      </c>
      <c r="D80" t="s">
        <v>284</v>
      </c>
      <c r="E80" t="s">
        <v>285</v>
      </c>
      <c r="F80" t="s">
        <v>4443</v>
      </c>
      <c r="G80" t="s">
        <v>283</v>
      </c>
    </row>
    <row r="81" spans="1:7" ht="11.25" customHeight="1" x14ac:dyDescent="0.15">
      <c r="A81" t="s">
        <v>1</v>
      </c>
      <c r="B81" t="s">
        <v>4496</v>
      </c>
      <c r="C81" t="s">
        <v>4497</v>
      </c>
      <c r="D81" t="s">
        <v>4496</v>
      </c>
      <c r="E81" t="s">
        <v>4497</v>
      </c>
      <c r="F81" t="s">
        <v>4443</v>
      </c>
      <c r="G81" t="s">
        <v>4498</v>
      </c>
    </row>
    <row r="82" spans="1:7" ht="11.25" customHeight="1" x14ac:dyDescent="0.15">
      <c r="A82" t="s">
        <v>1</v>
      </c>
      <c r="B82" t="s">
        <v>289</v>
      </c>
      <c r="C82" t="s">
        <v>302</v>
      </c>
      <c r="D82" t="s">
        <v>290</v>
      </c>
      <c r="E82" t="s">
        <v>291</v>
      </c>
      <c r="F82" t="s">
        <v>4446</v>
      </c>
      <c r="G82" t="s">
        <v>288</v>
      </c>
    </row>
    <row r="83" spans="1:7" ht="11.25" customHeight="1" x14ac:dyDescent="0.15">
      <c r="A83" t="s">
        <v>1</v>
      </c>
      <c r="B83" t="s">
        <v>289</v>
      </c>
      <c r="C83" t="s">
        <v>302</v>
      </c>
      <c r="D83" t="s">
        <v>4499</v>
      </c>
      <c r="E83" t="s">
        <v>4500</v>
      </c>
      <c r="F83" t="s">
        <v>4450</v>
      </c>
      <c r="G83" t="s">
        <v>4501</v>
      </c>
    </row>
    <row r="84" spans="1:7" ht="11.25" customHeight="1" x14ac:dyDescent="0.15">
      <c r="A84" t="s">
        <v>1</v>
      </c>
      <c r="B84" t="s">
        <v>289</v>
      </c>
      <c r="C84" t="s">
        <v>302</v>
      </c>
      <c r="D84" t="s">
        <v>293</v>
      </c>
      <c r="E84" t="s">
        <v>294</v>
      </c>
      <c r="F84" t="s">
        <v>4446</v>
      </c>
      <c r="G84" t="s">
        <v>292</v>
      </c>
    </row>
    <row r="85" spans="1:7" ht="11.25" customHeight="1" x14ac:dyDescent="0.15">
      <c r="A85" t="s">
        <v>1</v>
      </c>
      <c r="B85" t="s">
        <v>289</v>
      </c>
      <c r="C85" t="s">
        <v>302</v>
      </c>
      <c r="D85" t="s">
        <v>4502</v>
      </c>
      <c r="E85" t="s">
        <v>4503</v>
      </c>
      <c r="F85" t="s">
        <v>4454</v>
      </c>
      <c r="G85" t="s">
        <v>4504</v>
      </c>
    </row>
    <row r="86" spans="1:7" ht="11.25" customHeight="1" x14ac:dyDescent="0.15">
      <c r="A86" t="s">
        <v>1</v>
      </c>
      <c r="B86" t="s">
        <v>289</v>
      </c>
      <c r="C86" t="s">
        <v>302</v>
      </c>
      <c r="D86" t="s">
        <v>296</v>
      </c>
      <c r="E86" t="s">
        <v>297</v>
      </c>
      <c r="F86" t="s">
        <v>4446</v>
      </c>
      <c r="G86" t="s">
        <v>295</v>
      </c>
    </row>
    <row r="87" spans="1:7" ht="11.25" customHeight="1" x14ac:dyDescent="0.15">
      <c r="A87" t="s">
        <v>1</v>
      </c>
      <c r="B87" t="s">
        <v>289</v>
      </c>
      <c r="C87" t="s">
        <v>302</v>
      </c>
      <c r="D87" t="s">
        <v>289</v>
      </c>
      <c r="E87" t="s">
        <v>302</v>
      </c>
      <c r="F87" t="s">
        <v>4447</v>
      </c>
      <c r="G87" t="s">
        <v>301</v>
      </c>
    </row>
    <row r="88" spans="1:7" ht="11.25" customHeight="1" x14ac:dyDescent="0.15">
      <c r="A88" t="s">
        <v>1</v>
      </c>
      <c r="B88" t="s">
        <v>289</v>
      </c>
      <c r="C88" t="s">
        <v>302</v>
      </c>
      <c r="D88" t="s">
        <v>299</v>
      </c>
      <c r="E88" t="s">
        <v>300</v>
      </c>
      <c r="F88" t="s">
        <v>4446</v>
      </c>
      <c r="G88" t="s">
        <v>298</v>
      </c>
    </row>
    <row r="89" spans="1:7" ht="11.25" customHeight="1" x14ac:dyDescent="0.15">
      <c r="A89" t="s">
        <v>1</v>
      </c>
      <c r="B89" t="s">
        <v>306</v>
      </c>
      <c r="C89" t="s">
        <v>307</v>
      </c>
      <c r="D89" t="s">
        <v>306</v>
      </c>
      <c r="E89" t="s">
        <v>307</v>
      </c>
      <c r="F89" t="s">
        <v>4443</v>
      </c>
      <c r="G89" t="s">
        <v>305</v>
      </c>
    </row>
    <row r="90" spans="1:7" ht="11.25" customHeight="1" x14ac:dyDescent="0.15">
      <c r="A90" t="s">
        <v>1</v>
      </c>
      <c r="B90" t="s">
        <v>4505</v>
      </c>
      <c r="C90" t="s">
        <v>4506</v>
      </c>
      <c r="D90" t="s">
        <v>4505</v>
      </c>
      <c r="E90" t="s">
        <v>4506</v>
      </c>
      <c r="F90" t="s">
        <v>4443</v>
      </c>
      <c r="G90" t="s">
        <v>4507</v>
      </c>
    </row>
    <row r="91" spans="1:7" ht="11.25" customHeight="1" x14ac:dyDescent="0.15">
      <c r="A91" t="s">
        <v>1</v>
      </c>
      <c r="B91" t="s">
        <v>310</v>
      </c>
      <c r="C91" t="s">
        <v>4508</v>
      </c>
      <c r="D91" t="s">
        <v>311</v>
      </c>
      <c r="E91" t="s">
        <v>312</v>
      </c>
      <c r="F91" t="s">
        <v>4446</v>
      </c>
      <c r="G91" t="s">
        <v>309</v>
      </c>
    </row>
    <row r="92" spans="1:7" ht="11.25" customHeight="1" x14ac:dyDescent="0.15">
      <c r="A92" t="s">
        <v>1</v>
      </c>
      <c r="B92" t="s">
        <v>310</v>
      </c>
      <c r="C92" t="s">
        <v>4508</v>
      </c>
      <c r="D92" t="s">
        <v>314</v>
      </c>
      <c r="E92" t="s">
        <v>315</v>
      </c>
      <c r="F92" t="s">
        <v>4446</v>
      </c>
      <c r="G92" t="s">
        <v>313</v>
      </c>
    </row>
    <row r="93" spans="1:7" ht="11.25" customHeight="1" x14ac:dyDescent="0.15">
      <c r="A93" t="s">
        <v>1</v>
      </c>
      <c r="B93" t="s">
        <v>310</v>
      </c>
      <c r="C93" t="s">
        <v>4508</v>
      </c>
      <c r="D93" t="s">
        <v>317</v>
      </c>
      <c r="E93" t="s">
        <v>318</v>
      </c>
      <c r="F93" t="s">
        <v>4446</v>
      </c>
      <c r="G93" t="s">
        <v>316</v>
      </c>
    </row>
    <row r="94" spans="1:7" ht="11.25" customHeight="1" x14ac:dyDescent="0.15">
      <c r="A94" t="s">
        <v>1</v>
      </c>
      <c r="B94" t="s">
        <v>310</v>
      </c>
      <c r="C94" t="s">
        <v>4508</v>
      </c>
      <c r="D94" t="s">
        <v>320</v>
      </c>
      <c r="E94" t="s">
        <v>321</v>
      </c>
      <c r="F94" t="s">
        <v>4454</v>
      </c>
      <c r="G94" t="s">
        <v>319</v>
      </c>
    </row>
    <row r="95" spans="1:7" ht="11.25" customHeight="1" x14ac:dyDescent="0.15">
      <c r="A95" t="s">
        <v>1</v>
      </c>
      <c r="B95" t="s">
        <v>310</v>
      </c>
      <c r="C95" t="s">
        <v>4508</v>
      </c>
      <c r="D95" t="s">
        <v>323</v>
      </c>
      <c r="E95" t="s">
        <v>324</v>
      </c>
      <c r="F95" t="s">
        <v>4446</v>
      </c>
      <c r="G95" t="s">
        <v>322</v>
      </c>
    </row>
    <row r="96" spans="1:7" ht="11.25" customHeight="1" x14ac:dyDescent="0.15">
      <c r="A96" t="s">
        <v>1</v>
      </c>
      <c r="B96" t="s">
        <v>310</v>
      </c>
      <c r="C96" t="s">
        <v>4508</v>
      </c>
      <c r="D96" t="s">
        <v>310</v>
      </c>
      <c r="E96" t="s">
        <v>4508</v>
      </c>
      <c r="F96" t="s">
        <v>4447</v>
      </c>
      <c r="G96" t="s">
        <v>4509</v>
      </c>
    </row>
    <row r="97" spans="1:7" ht="11.25" customHeight="1" x14ac:dyDescent="0.15">
      <c r="A97" t="s">
        <v>1</v>
      </c>
      <c r="B97" t="s">
        <v>310</v>
      </c>
      <c r="C97" t="s">
        <v>4508</v>
      </c>
      <c r="D97" t="s">
        <v>326</v>
      </c>
      <c r="E97" t="s">
        <v>327</v>
      </c>
      <c r="F97" t="s">
        <v>4454</v>
      </c>
      <c r="G97" t="s">
        <v>325</v>
      </c>
    </row>
    <row r="98" spans="1:7" ht="11.25" customHeight="1" x14ac:dyDescent="0.15">
      <c r="A98" t="s">
        <v>1</v>
      </c>
      <c r="B98" t="s">
        <v>310</v>
      </c>
      <c r="C98" t="s">
        <v>4508</v>
      </c>
      <c r="D98" t="s">
        <v>329</v>
      </c>
      <c r="E98" t="s">
        <v>330</v>
      </c>
      <c r="F98" t="s">
        <v>4446</v>
      </c>
      <c r="G98" t="s">
        <v>328</v>
      </c>
    </row>
    <row r="99" spans="1:7" ht="11.25" customHeight="1" x14ac:dyDescent="0.15">
      <c r="A99" t="s">
        <v>1</v>
      </c>
      <c r="B99" t="s">
        <v>4510</v>
      </c>
      <c r="C99" t="s">
        <v>4511</v>
      </c>
      <c r="D99" t="s">
        <v>4510</v>
      </c>
      <c r="E99" t="s">
        <v>4511</v>
      </c>
      <c r="F99" t="s">
        <v>4443</v>
      </c>
      <c r="G99" t="s">
        <v>4512</v>
      </c>
    </row>
    <row r="100" spans="1:7" ht="11.25" customHeight="1" x14ac:dyDescent="0.15">
      <c r="A100" t="s">
        <v>1</v>
      </c>
      <c r="B100" t="s">
        <v>333</v>
      </c>
      <c r="C100" t="s">
        <v>4513</v>
      </c>
      <c r="D100" t="s">
        <v>334</v>
      </c>
      <c r="E100" t="s">
        <v>335</v>
      </c>
      <c r="F100" t="s">
        <v>4446</v>
      </c>
      <c r="G100" t="s">
        <v>332</v>
      </c>
    </row>
    <row r="101" spans="1:7" ht="11.25" customHeight="1" x14ac:dyDescent="0.15">
      <c r="A101" t="s">
        <v>1</v>
      </c>
      <c r="B101" t="s">
        <v>333</v>
      </c>
      <c r="C101" t="s">
        <v>4513</v>
      </c>
      <c r="D101" t="s">
        <v>4514</v>
      </c>
      <c r="E101" t="s">
        <v>4515</v>
      </c>
      <c r="F101" t="s">
        <v>4446</v>
      </c>
      <c r="G101" t="s">
        <v>4516</v>
      </c>
    </row>
    <row r="102" spans="1:7" ht="11.25" customHeight="1" x14ac:dyDescent="0.15">
      <c r="A102" t="s">
        <v>1</v>
      </c>
      <c r="B102" t="s">
        <v>333</v>
      </c>
      <c r="C102" t="s">
        <v>4513</v>
      </c>
      <c r="D102" t="s">
        <v>337</v>
      </c>
      <c r="E102" t="s">
        <v>338</v>
      </c>
      <c r="F102" t="s">
        <v>4446</v>
      </c>
      <c r="G102" t="s">
        <v>336</v>
      </c>
    </row>
    <row r="103" spans="1:7" ht="11.25" customHeight="1" x14ac:dyDescent="0.15">
      <c r="A103" t="s">
        <v>1</v>
      </c>
      <c r="B103" t="s">
        <v>333</v>
      </c>
      <c r="C103" t="s">
        <v>4513</v>
      </c>
      <c r="D103" t="s">
        <v>4517</v>
      </c>
      <c r="E103" t="s">
        <v>4518</v>
      </c>
      <c r="F103" t="s">
        <v>4446</v>
      </c>
      <c r="G103" t="s">
        <v>4519</v>
      </c>
    </row>
    <row r="104" spans="1:7" ht="11.25" customHeight="1" x14ac:dyDescent="0.15">
      <c r="A104" t="s">
        <v>1</v>
      </c>
      <c r="B104" t="s">
        <v>333</v>
      </c>
      <c r="C104" t="s">
        <v>4513</v>
      </c>
      <c r="D104" t="s">
        <v>333</v>
      </c>
      <c r="E104" t="s">
        <v>4513</v>
      </c>
      <c r="F104" t="s">
        <v>4447</v>
      </c>
      <c r="G104" t="s">
        <v>4520</v>
      </c>
    </row>
    <row r="105" spans="1:7" ht="11.25" customHeight="1" x14ac:dyDescent="0.15">
      <c r="A105" t="s">
        <v>1</v>
      </c>
      <c r="B105" t="s">
        <v>333</v>
      </c>
      <c r="C105" t="s">
        <v>4513</v>
      </c>
      <c r="D105" t="s">
        <v>340</v>
      </c>
      <c r="E105" t="s">
        <v>341</v>
      </c>
      <c r="F105" t="s">
        <v>4446</v>
      </c>
      <c r="G105" t="s">
        <v>339</v>
      </c>
    </row>
    <row r="106" spans="1:7" ht="11.25" customHeight="1" x14ac:dyDescent="0.15">
      <c r="A106" t="s">
        <v>1</v>
      </c>
      <c r="B106" t="s">
        <v>351</v>
      </c>
      <c r="C106" t="s">
        <v>352</v>
      </c>
      <c r="D106" t="s">
        <v>351</v>
      </c>
      <c r="E106" t="s">
        <v>352</v>
      </c>
      <c r="F106" t="s">
        <v>4444</v>
      </c>
      <c r="G106" t="s">
        <v>350</v>
      </c>
    </row>
    <row r="107" spans="1:7" ht="11.25" customHeight="1" x14ac:dyDescent="0.15">
      <c r="A107" t="s">
        <v>1</v>
      </c>
      <c r="B107" t="s">
        <v>4521</v>
      </c>
      <c r="C107" t="s">
        <v>4522</v>
      </c>
      <c r="D107" t="s">
        <v>4521</v>
      </c>
      <c r="E107" t="s">
        <v>4522</v>
      </c>
      <c r="F107" t="s">
        <v>4444</v>
      </c>
      <c r="G107" t="s">
        <v>4523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x14ac:dyDescent="0.15"/>
  <sheetData>
    <row r="1" spans="1:4" ht="11.25" customHeight="1" x14ac:dyDescent="0.15">
      <c r="A1" t="s">
        <v>4524</v>
      </c>
      <c r="B1" t="s">
        <v>4525</v>
      </c>
      <c r="C1" t="s">
        <v>4526</v>
      </c>
      <c r="D1" t="s">
        <v>4527</v>
      </c>
    </row>
    <row r="2" spans="1:4" ht="11.25" customHeight="1" x14ac:dyDescent="0.15">
      <c r="A2" t="s">
        <v>165</v>
      </c>
      <c r="B2" t="s">
        <v>4528</v>
      </c>
      <c r="C2" t="s">
        <v>4529</v>
      </c>
      <c r="D2" t="s">
        <v>4530</v>
      </c>
    </row>
    <row r="3" spans="1:4" ht="11.25" customHeight="1" x14ac:dyDescent="0.15">
      <c r="A3" t="s">
        <v>89</v>
      </c>
      <c r="B3" t="s">
        <v>4531</v>
      </c>
      <c r="C3" t="s">
        <v>4529</v>
      </c>
      <c r="D3" t="s">
        <v>4532</v>
      </c>
    </row>
    <row r="4" spans="1:4" ht="11.25" customHeight="1" x14ac:dyDescent="0.15">
      <c r="A4" t="s">
        <v>77</v>
      </c>
      <c r="B4" t="s">
        <v>4533</v>
      </c>
      <c r="C4" t="s">
        <v>4534</v>
      </c>
      <c r="D4" t="s">
        <v>4535</v>
      </c>
    </row>
    <row r="5" spans="1:4" ht="11.25" customHeight="1" x14ac:dyDescent="0.15">
      <c r="A5" t="s">
        <v>78</v>
      </c>
      <c r="B5" t="s">
        <v>4536</v>
      </c>
      <c r="C5" t="s">
        <v>4537</v>
      </c>
      <c r="D5" t="s">
        <v>4532</v>
      </c>
    </row>
    <row r="6" spans="1:4" ht="11.25" customHeight="1" x14ac:dyDescent="0.15">
      <c r="A6" t="s">
        <v>100</v>
      </c>
      <c r="B6" t="s">
        <v>4538</v>
      </c>
      <c r="C6" t="s">
        <v>4537</v>
      </c>
      <c r="D6" t="s">
        <v>4539</v>
      </c>
    </row>
    <row r="7" spans="1:4" ht="11.25" customHeight="1" x14ac:dyDescent="0.15">
      <c r="A7" t="s">
        <v>79</v>
      </c>
      <c r="B7" t="s">
        <v>4540</v>
      </c>
      <c r="C7" t="s">
        <v>4541</v>
      </c>
      <c r="D7" t="s">
        <v>4539</v>
      </c>
    </row>
    <row r="8" spans="1:4" ht="11.25" customHeight="1" x14ac:dyDescent="0.15">
      <c r="A8" t="s">
        <v>80</v>
      </c>
      <c r="B8" t="s">
        <v>4542</v>
      </c>
      <c r="C8" t="s">
        <v>4543</v>
      </c>
      <c r="D8" t="s">
        <v>4544</v>
      </c>
    </row>
    <row r="9" spans="1:4" ht="11.25" customHeight="1" x14ac:dyDescent="0.15">
      <c r="A9" t="s">
        <v>102</v>
      </c>
      <c r="B9" t="s">
        <v>4545</v>
      </c>
      <c r="C9" t="s">
        <v>4543</v>
      </c>
      <c r="D9" t="s">
        <v>4546</v>
      </c>
    </row>
    <row r="10" spans="1:4" ht="11.25" customHeight="1" x14ac:dyDescent="0.15">
      <c r="A10" t="s">
        <v>133</v>
      </c>
      <c r="B10" t="s">
        <v>4547</v>
      </c>
      <c r="C10" t="s">
        <v>4548</v>
      </c>
      <c r="D10" t="s">
        <v>4546</v>
      </c>
    </row>
    <row r="11" spans="1:4" ht="11.25" customHeight="1" x14ac:dyDescent="0.15">
      <c r="A11" t="s">
        <v>106</v>
      </c>
      <c r="B11" t="s">
        <v>4549</v>
      </c>
      <c r="C11" t="s">
        <v>4550</v>
      </c>
      <c r="D11" t="s">
        <v>4551</v>
      </c>
    </row>
    <row r="12" spans="1:4" ht="11.25" customHeight="1" x14ac:dyDescent="0.15">
      <c r="A12" t="s">
        <v>163</v>
      </c>
      <c r="B12" t="s">
        <v>4552</v>
      </c>
      <c r="C12" t="s">
        <v>4537</v>
      </c>
      <c r="D12" t="s">
        <v>4539</v>
      </c>
    </row>
    <row r="13" spans="1:4" ht="11.25" customHeight="1" x14ac:dyDescent="0.15">
      <c r="A13" t="s">
        <v>109</v>
      </c>
      <c r="B13" t="s">
        <v>4553</v>
      </c>
      <c r="C13" t="s">
        <v>4554</v>
      </c>
      <c r="D13" t="s">
        <v>4555</v>
      </c>
    </row>
    <row r="14" spans="1:4" ht="11.25" customHeight="1" x14ac:dyDescent="0.15">
      <c r="A14" t="s">
        <v>112</v>
      </c>
      <c r="B14" t="s">
        <v>4556</v>
      </c>
      <c r="C14" t="s">
        <v>4557</v>
      </c>
      <c r="D14" t="s">
        <v>4558</v>
      </c>
    </row>
    <row r="15" spans="1:4" ht="11.25" customHeight="1" x14ac:dyDescent="0.15">
      <c r="A15" t="s">
        <v>115</v>
      </c>
      <c r="B15" t="s">
        <v>4559</v>
      </c>
      <c r="C15" t="s">
        <v>4560</v>
      </c>
      <c r="D15" t="s">
        <v>4535</v>
      </c>
    </row>
    <row r="16" spans="1:4" ht="11.25" customHeight="1" x14ac:dyDescent="0.15">
      <c r="A16" t="s">
        <v>118</v>
      </c>
      <c r="B16" t="s">
        <v>4561</v>
      </c>
      <c r="C16" t="s">
        <v>4529</v>
      </c>
      <c r="D16" t="s">
        <v>4532</v>
      </c>
    </row>
    <row r="17" spans="1:4" ht="11.25" customHeight="1" x14ac:dyDescent="0.15">
      <c r="A17" t="s">
        <v>169</v>
      </c>
      <c r="B17" t="s">
        <v>4562</v>
      </c>
      <c r="C17" t="s">
        <v>4537</v>
      </c>
      <c r="D17" t="s">
        <v>4539</v>
      </c>
    </row>
    <row r="18" spans="1:4" ht="11.25" customHeight="1" x14ac:dyDescent="0.15">
      <c r="A18" t="s">
        <v>241</v>
      </c>
      <c r="B18" t="s">
        <v>4563</v>
      </c>
      <c r="C18" t="s">
        <v>4537</v>
      </c>
      <c r="D18" t="s">
        <v>4539</v>
      </c>
    </row>
    <row r="19" spans="1:4" ht="11.25" customHeight="1" x14ac:dyDescent="0.15">
      <c r="A19" t="s">
        <v>173</v>
      </c>
      <c r="B19" t="s">
        <v>4564</v>
      </c>
      <c r="C19" t="s">
        <v>4565</v>
      </c>
      <c r="D19" t="s">
        <v>4566</v>
      </c>
    </row>
    <row r="20" spans="1:4" ht="11.25" customHeight="1" x14ac:dyDescent="0.15">
      <c r="A20" t="s">
        <v>259</v>
      </c>
      <c r="B20" t="s">
        <v>4567</v>
      </c>
      <c r="C20" t="s">
        <v>4568</v>
      </c>
      <c r="D20" t="s">
        <v>4569</v>
      </c>
    </row>
    <row r="21" spans="1:4" ht="11.25" customHeight="1" x14ac:dyDescent="0.15">
      <c r="A21" t="s">
        <v>177</v>
      </c>
      <c r="B21" t="s">
        <v>4570</v>
      </c>
      <c r="C21" t="s">
        <v>4571</v>
      </c>
      <c r="D21" t="s">
        <v>4572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x14ac:dyDescent="0.15"/>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4"/>
  <sheetViews>
    <sheetView showGridLines="0" workbookViewId="0"/>
  </sheetViews>
  <sheetFormatPr defaultColWidth="9.140625" defaultRowHeight="11.25" customHeight="1" x14ac:dyDescent="0.15"/>
  <sheetData>
    <row r="1" spans="1:2" ht="11.25" customHeight="1" x14ac:dyDescent="0.15">
      <c r="A1" t="s">
        <v>438</v>
      </c>
      <c r="B1" t="s">
        <v>4573</v>
      </c>
    </row>
    <row r="2" spans="1:2" ht="11.25" customHeight="1" x14ac:dyDescent="0.15">
      <c r="A2" t="s">
        <v>85</v>
      </c>
      <c r="B2" t="s">
        <v>4574</v>
      </c>
    </row>
    <row r="3" spans="1:2" ht="11.25" customHeight="1" x14ac:dyDescent="0.15">
      <c r="A3" t="s">
        <v>91</v>
      </c>
      <c r="B3" t="s">
        <v>4575</v>
      </c>
    </row>
    <row r="4" spans="1:2" ht="11.25" customHeight="1" x14ac:dyDescent="0.15">
      <c r="A4" t="s">
        <v>94</v>
      </c>
      <c r="B4" t="s">
        <v>4576</v>
      </c>
    </row>
    <row r="5" spans="1:2" ht="11.25" customHeight="1" x14ac:dyDescent="0.15">
      <c r="A5" t="s">
        <v>97</v>
      </c>
      <c r="B5" t="s">
        <v>4577</v>
      </c>
    </row>
    <row r="6" spans="1:2" ht="11.25" customHeight="1" x14ac:dyDescent="0.15">
      <c r="A6" t="s">
        <v>101</v>
      </c>
      <c r="B6" t="s">
        <v>4578</v>
      </c>
    </row>
    <row r="7" spans="1:2" ht="11.25" customHeight="1" x14ac:dyDescent="0.15">
      <c r="A7" t="s">
        <v>121</v>
      </c>
      <c r="B7" t="s">
        <v>4579</v>
      </c>
    </row>
    <row r="8" spans="1:2" ht="11.25" customHeight="1" x14ac:dyDescent="0.15">
      <c r="A8" t="s">
        <v>125</v>
      </c>
      <c r="B8" t="s">
        <v>4580</v>
      </c>
    </row>
    <row r="9" spans="1:2" ht="11.25" customHeight="1" x14ac:dyDescent="0.15">
      <c r="A9" t="s">
        <v>129</v>
      </c>
      <c r="B9" t="s">
        <v>4581</v>
      </c>
    </row>
    <row r="10" spans="1:2" ht="11.25" customHeight="1" x14ac:dyDescent="0.15">
      <c r="A10" t="s">
        <v>134</v>
      </c>
      <c r="B10" t="s">
        <v>4582</v>
      </c>
    </row>
    <row r="11" spans="1:2" ht="11.25" customHeight="1" x14ac:dyDescent="0.15">
      <c r="A11" t="s">
        <v>137</v>
      </c>
      <c r="B11" t="s">
        <v>4583</v>
      </c>
    </row>
    <row r="12" spans="1:2" ht="11.25" customHeight="1" x14ac:dyDescent="0.15">
      <c r="A12" t="s">
        <v>164</v>
      </c>
      <c r="B12" t="s">
        <v>4584</v>
      </c>
    </row>
    <row r="13" spans="1:2" ht="11.25" customHeight="1" x14ac:dyDescent="0.15">
      <c r="A13" t="s">
        <v>168</v>
      </c>
      <c r="B13" t="s">
        <v>4585</v>
      </c>
    </row>
    <row r="14" spans="1:2" ht="11.25" customHeight="1" x14ac:dyDescent="0.15">
      <c r="A14" t="s">
        <v>172</v>
      </c>
      <c r="B14" t="s">
        <v>4586</v>
      </c>
    </row>
    <row r="15" spans="1:2" ht="11.25" customHeight="1" x14ac:dyDescent="0.15">
      <c r="A15" t="s">
        <v>186</v>
      </c>
      <c r="B15" t="s">
        <v>4587</v>
      </c>
    </row>
    <row r="16" spans="1:2" ht="11.25" customHeight="1" x14ac:dyDescent="0.15">
      <c r="A16" t="s">
        <v>212</v>
      </c>
      <c r="B16" t="s">
        <v>4588</v>
      </c>
    </row>
    <row r="17" spans="1:2" ht="11.25" customHeight="1" x14ac:dyDescent="0.15">
      <c r="A17" t="s">
        <v>216</v>
      </c>
      <c r="B17" t="s">
        <v>4589</v>
      </c>
    </row>
    <row r="18" spans="1:2" ht="11.25" customHeight="1" x14ac:dyDescent="0.15">
      <c r="A18" t="s">
        <v>242</v>
      </c>
      <c r="B18" t="s">
        <v>4590</v>
      </c>
    </row>
    <row r="19" spans="1:2" ht="11.25" customHeight="1" x14ac:dyDescent="0.15">
      <c r="A19" t="s">
        <v>255</v>
      </c>
      <c r="B19" t="s">
        <v>4591</v>
      </c>
    </row>
    <row r="20" spans="1:2" ht="11.25" customHeight="1" x14ac:dyDescent="0.15">
      <c r="A20" t="s">
        <v>260</v>
      </c>
      <c r="B20" t="s">
        <v>4592</v>
      </c>
    </row>
    <row r="21" spans="1:2" ht="11.25" customHeight="1" x14ac:dyDescent="0.15">
      <c r="A21" t="s">
        <v>264</v>
      </c>
      <c r="B21" t="s">
        <v>4593</v>
      </c>
    </row>
    <row r="22" spans="1:2" ht="11.25" customHeight="1" x14ac:dyDescent="0.15">
      <c r="A22" t="s">
        <v>268</v>
      </c>
      <c r="B22" t="s">
        <v>4594</v>
      </c>
    </row>
    <row r="23" spans="1:2" ht="11.25" customHeight="1" x14ac:dyDescent="0.15">
      <c r="A23" t="s">
        <v>273</v>
      </c>
      <c r="B23" t="s">
        <v>4595</v>
      </c>
    </row>
    <row r="24" spans="1:2" ht="11.25" customHeight="1" x14ac:dyDescent="0.15">
      <c r="A24" t="s">
        <v>277</v>
      </c>
      <c r="B24" t="s">
        <v>4596</v>
      </c>
    </row>
    <row r="25" spans="1:2" ht="11.25" customHeight="1" x14ac:dyDescent="0.15">
      <c r="A25" t="s">
        <v>282</v>
      </c>
      <c r="B25" t="s">
        <v>4597</v>
      </c>
    </row>
    <row r="26" spans="1:2" ht="11.25" customHeight="1" x14ac:dyDescent="0.15">
      <c r="A26" t="s">
        <v>287</v>
      </c>
      <c r="B26" t="s">
        <v>4598</v>
      </c>
    </row>
    <row r="27" spans="1:2" ht="11.25" customHeight="1" x14ac:dyDescent="0.15">
      <c r="A27" t="s">
        <v>304</v>
      </c>
      <c r="B27" t="s">
        <v>4599</v>
      </c>
    </row>
    <row r="28" spans="1:2" ht="11.25" customHeight="1" x14ac:dyDescent="0.15">
      <c r="A28" t="s">
        <v>308</v>
      </c>
      <c r="B28" t="s">
        <v>4600</v>
      </c>
    </row>
    <row r="29" spans="1:2" ht="11.25" customHeight="1" x14ac:dyDescent="0.15">
      <c r="A29" t="s">
        <v>331</v>
      </c>
      <c r="B29" t="s">
        <v>4601</v>
      </c>
    </row>
    <row r="30" spans="1:2" ht="11.25" customHeight="1" x14ac:dyDescent="0.15">
      <c r="A30" t="s">
        <v>342</v>
      </c>
      <c r="B30" t="s">
        <v>4602</v>
      </c>
    </row>
    <row r="31" spans="1:2" ht="11.25" customHeight="1" x14ac:dyDescent="0.15">
      <c r="A31" t="s">
        <v>343</v>
      </c>
      <c r="B31" t="s">
        <v>4603</v>
      </c>
    </row>
    <row r="32" spans="1:2" ht="11.25" customHeight="1" x14ac:dyDescent="0.15">
      <c r="A32" t="s">
        <v>345</v>
      </c>
      <c r="B32" t="s">
        <v>4604</v>
      </c>
    </row>
    <row r="33" spans="1:2" ht="11.25" customHeight="1" x14ac:dyDescent="0.15">
      <c r="A33" t="s">
        <v>346</v>
      </c>
      <c r="B33" t="s">
        <v>4605</v>
      </c>
    </row>
    <row r="34" spans="1:2" ht="11.25" customHeight="1" x14ac:dyDescent="0.15">
      <c r="A34" t="s">
        <v>349</v>
      </c>
      <c r="B34" t="s">
        <v>4606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x14ac:dyDescent="0.15"/>
  <cols>
    <col min="2" max="2" width="65.28515625" customWidth="1"/>
  </cols>
  <sheetData>
    <row r="1" spans="1:2" ht="11.25" customHeight="1" x14ac:dyDescent="0.15">
      <c r="A1" t="s">
        <v>4607</v>
      </c>
      <c r="B1" t="s">
        <v>4608</v>
      </c>
    </row>
    <row r="2" spans="1:2" ht="11.25" customHeight="1" x14ac:dyDescent="0.15">
      <c r="A2">
        <v>4213775</v>
      </c>
      <c r="B2" t="s">
        <v>1070</v>
      </c>
    </row>
    <row r="3" spans="1:2" ht="11.25" customHeight="1" x14ac:dyDescent="0.15">
      <c r="A3">
        <v>4213784</v>
      </c>
      <c r="B3" t="s">
        <v>1105</v>
      </c>
    </row>
    <row r="4" spans="1:2" ht="11.25" customHeight="1" x14ac:dyDescent="0.15">
      <c r="A4">
        <v>4213781</v>
      </c>
      <c r="B4" t="s">
        <v>1098</v>
      </c>
    </row>
    <row r="5" spans="1:2" ht="11.25" customHeight="1" x14ac:dyDescent="0.15">
      <c r="A5">
        <v>4213776</v>
      </c>
      <c r="B5" t="s">
        <v>470</v>
      </c>
    </row>
    <row r="6" spans="1:2" ht="11.25" customHeight="1" x14ac:dyDescent="0.15">
      <c r="A6">
        <v>4213777</v>
      </c>
      <c r="B6" t="s">
        <v>476</v>
      </c>
    </row>
    <row r="7" spans="1:2" ht="11.25" customHeight="1" x14ac:dyDescent="0.15">
      <c r="A7">
        <v>4213778</v>
      </c>
      <c r="B7" t="s">
        <v>482</v>
      </c>
    </row>
    <row r="8" spans="1:2" ht="11.25" customHeight="1" x14ac:dyDescent="0.15">
      <c r="A8">
        <v>4213780</v>
      </c>
      <c r="B8" t="s">
        <v>488</v>
      </c>
    </row>
    <row r="9" spans="1:2" ht="11.25" customHeight="1" x14ac:dyDescent="0.15">
      <c r="A9">
        <v>4213779</v>
      </c>
      <c r="B9" t="s">
        <v>1237</v>
      </c>
    </row>
    <row r="10" spans="1:2" ht="11.25" customHeight="1" x14ac:dyDescent="0.15">
      <c r="A10">
        <v>4213783</v>
      </c>
      <c r="B10" t="s">
        <v>1252</v>
      </c>
    </row>
    <row r="11" spans="1:2" ht="11.25" customHeight="1" x14ac:dyDescent="0.15">
      <c r="A11">
        <v>4213782</v>
      </c>
      <c r="B11" t="s">
        <v>497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x14ac:dyDescent="0.15"/>
  <cols>
    <col min="2" max="2" width="65.28515625" customWidth="1"/>
  </cols>
  <sheetData>
    <row r="1" spans="1:2" ht="11.25" customHeight="1" x14ac:dyDescent="0.15">
      <c r="A1" t="s">
        <v>4607</v>
      </c>
      <c r="B1" t="s">
        <v>4609</v>
      </c>
    </row>
    <row r="2" spans="1:2" ht="11.25" customHeight="1" x14ac:dyDescent="0.15">
      <c r="A2" t="s">
        <v>365</v>
      </c>
      <c r="B2" t="s">
        <v>1346</v>
      </c>
    </row>
    <row r="3" spans="1:2" ht="11.25" customHeight="1" x14ac:dyDescent="0.15">
      <c r="A3" t="s">
        <v>4610</v>
      </c>
      <c r="B3" t="s">
        <v>1355</v>
      </c>
    </row>
    <row r="4" spans="1:2" ht="11.25" customHeight="1" x14ac:dyDescent="0.15">
      <c r="A4" t="s">
        <v>4611</v>
      </c>
      <c r="B4" t="s">
        <v>1364</v>
      </c>
    </row>
    <row r="5" spans="1:2" ht="11.25" customHeight="1" x14ac:dyDescent="0.15">
      <c r="A5" t="s">
        <v>4612</v>
      </c>
      <c r="B5" t="s">
        <v>1373</v>
      </c>
    </row>
    <row r="6" spans="1:2" ht="11.25" customHeight="1" x14ac:dyDescent="0.15">
      <c r="A6" t="s">
        <v>428</v>
      </c>
      <c r="B6" t="s">
        <v>1377</v>
      </c>
    </row>
    <row r="7" spans="1:2" ht="11.25" customHeight="1" x14ac:dyDescent="0.15">
      <c r="A7" t="s">
        <v>4613</v>
      </c>
      <c r="B7" t="s">
        <v>1383</v>
      </c>
    </row>
    <row r="8" spans="1:2" ht="11.25" customHeight="1" x14ac:dyDescent="0.15">
      <c r="A8" t="s">
        <v>4614</v>
      </c>
      <c r="B8" t="s">
        <v>1387</v>
      </c>
    </row>
    <row r="9" spans="1:2" ht="11.25" customHeight="1" x14ac:dyDescent="0.15">
      <c r="A9" t="s">
        <v>4615</v>
      </c>
      <c r="B9" t="s">
        <v>1391</v>
      </c>
    </row>
    <row r="10" spans="1:2" ht="11.25" customHeight="1" x14ac:dyDescent="0.15">
      <c r="A10" t="s">
        <v>403</v>
      </c>
      <c r="B10" t="s">
        <v>1394</v>
      </c>
    </row>
    <row r="11" spans="1:2" ht="11.25" customHeight="1" x14ac:dyDescent="0.15">
      <c r="A11" t="s">
        <v>4616</v>
      </c>
      <c r="B11" t="s">
        <v>1400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4"/>
  <sheetViews>
    <sheetView showGridLines="0" workbookViewId="0"/>
  </sheetViews>
  <sheetFormatPr defaultRowHeight="11.25" customHeight="1" x14ac:dyDescent="0.15"/>
  <sheetData>
    <row r="1" spans="1:7" ht="11.25" customHeight="1" x14ac:dyDescent="0.15">
      <c r="A1" t="s">
        <v>4436</v>
      </c>
      <c r="B1" t="s">
        <v>4437</v>
      </c>
      <c r="C1" t="s">
        <v>4438</v>
      </c>
      <c r="D1" t="s">
        <v>4439</v>
      </c>
      <c r="E1" t="s">
        <v>4440</v>
      </c>
      <c r="F1" t="s">
        <v>4441</v>
      </c>
      <c r="G1" t="s">
        <v>4442</v>
      </c>
    </row>
    <row r="2" spans="1:7" ht="11.25" customHeight="1" x14ac:dyDescent="0.15">
      <c r="A2" t="s">
        <v>1</v>
      </c>
      <c r="B2" t="s">
        <v>166</v>
      </c>
      <c r="C2" t="s">
        <v>167</v>
      </c>
      <c r="D2" t="s">
        <v>166</v>
      </c>
      <c r="E2" t="s">
        <v>167</v>
      </c>
      <c r="F2" t="s">
        <v>4443</v>
      </c>
      <c r="G2" t="s">
        <v>165</v>
      </c>
    </row>
    <row r="3" spans="1:7" ht="11.25" customHeight="1" x14ac:dyDescent="0.15">
      <c r="A3" t="s">
        <v>1</v>
      </c>
      <c r="B3" t="s">
        <v>347</v>
      </c>
      <c r="C3" t="s">
        <v>348</v>
      </c>
      <c r="D3" t="s">
        <v>347</v>
      </c>
      <c r="E3" t="s">
        <v>348</v>
      </c>
      <c r="F3" t="s">
        <v>4444</v>
      </c>
      <c r="G3" t="s">
        <v>89</v>
      </c>
    </row>
    <row r="4" spans="1:7" ht="11.25" customHeight="1" x14ac:dyDescent="0.15">
      <c r="A4" t="s">
        <v>1</v>
      </c>
      <c r="B4" t="s">
        <v>86</v>
      </c>
      <c r="C4" t="s">
        <v>87</v>
      </c>
      <c r="D4" t="s">
        <v>86</v>
      </c>
      <c r="E4" t="s">
        <v>87</v>
      </c>
      <c r="F4" t="s">
        <v>4444</v>
      </c>
      <c r="G4" t="s">
        <v>77</v>
      </c>
    </row>
    <row r="5" spans="1:7" ht="11.25" customHeight="1" x14ac:dyDescent="0.15">
      <c r="A5" t="s">
        <v>1</v>
      </c>
      <c r="B5" t="s">
        <v>92</v>
      </c>
      <c r="C5" t="s">
        <v>93</v>
      </c>
      <c r="D5" t="s">
        <v>92</v>
      </c>
      <c r="E5" t="s">
        <v>93</v>
      </c>
      <c r="F5" t="s">
        <v>4444</v>
      </c>
      <c r="G5" t="s">
        <v>78</v>
      </c>
    </row>
    <row r="6" spans="1:7" ht="11.25" customHeight="1" x14ac:dyDescent="0.15">
      <c r="A6" t="s">
        <v>1</v>
      </c>
      <c r="B6" t="s">
        <v>135</v>
      </c>
      <c r="C6" t="s">
        <v>136</v>
      </c>
      <c r="D6" t="s">
        <v>135</v>
      </c>
      <c r="E6" t="s">
        <v>136</v>
      </c>
      <c r="F6" t="s">
        <v>4444</v>
      </c>
      <c r="G6" t="s">
        <v>100</v>
      </c>
    </row>
    <row r="7" spans="1:7" ht="11.25" customHeight="1" x14ac:dyDescent="0.15">
      <c r="A7" t="s">
        <v>1</v>
      </c>
      <c r="B7" t="s">
        <v>95</v>
      </c>
      <c r="C7" t="s">
        <v>96</v>
      </c>
      <c r="D7" t="s">
        <v>95</v>
      </c>
      <c r="E7" t="s">
        <v>96</v>
      </c>
      <c r="F7" t="s">
        <v>4444</v>
      </c>
      <c r="G7" t="s">
        <v>79</v>
      </c>
    </row>
    <row r="8" spans="1:7" ht="11.25" customHeight="1" x14ac:dyDescent="0.15">
      <c r="A8" t="s">
        <v>1</v>
      </c>
      <c r="B8" t="s">
        <v>98</v>
      </c>
      <c r="C8" t="s">
        <v>99</v>
      </c>
      <c r="D8" t="s">
        <v>98</v>
      </c>
      <c r="E8" t="s">
        <v>99</v>
      </c>
      <c r="F8" t="s">
        <v>4444</v>
      </c>
      <c r="G8" t="s">
        <v>80</v>
      </c>
    </row>
    <row r="9" spans="1:7" ht="11.25" customHeight="1" x14ac:dyDescent="0.15">
      <c r="A9" t="s">
        <v>1</v>
      </c>
      <c r="B9" t="s">
        <v>103</v>
      </c>
      <c r="C9" t="s">
        <v>4445</v>
      </c>
      <c r="D9" t="s">
        <v>104</v>
      </c>
      <c r="E9" t="s">
        <v>105</v>
      </c>
      <c r="F9" t="s">
        <v>4446</v>
      </c>
      <c r="G9" t="s">
        <v>102</v>
      </c>
    </row>
    <row r="10" spans="1:7" ht="11.25" customHeight="1" x14ac:dyDescent="0.15">
      <c r="A10" t="s">
        <v>1</v>
      </c>
      <c r="B10" t="s">
        <v>103</v>
      </c>
      <c r="C10" t="s">
        <v>4445</v>
      </c>
      <c r="D10" t="s">
        <v>103</v>
      </c>
      <c r="E10" t="s">
        <v>4445</v>
      </c>
      <c r="F10" t="s">
        <v>4447</v>
      </c>
      <c r="G10" t="s">
        <v>133</v>
      </c>
    </row>
    <row r="11" spans="1:7" ht="11.25" customHeight="1" x14ac:dyDescent="0.15">
      <c r="A11" t="s">
        <v>1</v>
      </c>
      <c r="B11" t="s">
        <v>103</v>
      </c>
      <c r="C11" t="s">
        <v>4445</v>
      </c>
      <c r="D11" t="s">
        <v>107</v>
      </c>
      <c r="E11" t="s">
        <v>108</v>
      </c>
      <c r="F11" t="s">
        <v>4446</v>
      </c>
      <c r="G11" t="s">
        <v>106</v>
      </c>
    </row>
    <row r="12" spans="1:7" ht="11.25" customHeight="1" x14ac:dyDescent="0.15">
      <c r="A12" t="s">
        <v>1</v>
      </c>
      <c r="B12" t="s">
        <v>103</v>
      </c>
      <c r="C12" t="s">
        <v>4445</v>
      </c>
      <c r="D12" t="s">
        <v>4448</v>
      </c>
      <c r="E12" t="s">
        <v>4449</v>
      </c>
      <c r="F12" t="s">
        <v>4450</v>
      </c>
      <c r="G12" t="s">
        <v>163</v>
      </c>
    </row>
    <row r="13" spans="1:7" ht="11.25" customHeight="1" x14ac:dyDescent="0.15">
      <c r="A13" t="s">
        <v>1</v>
      </c>
      <c r="B13" t="s">
        <v>103</v>
      </c>
      <c r="C13" t="s">
        <v>4445</v>
      </c>
      <c r="D13" t="s">
        <v>110</v>
      </c>
      <c r="E13" t="s">
        <v>111</v>
      </c>
      <c r="F13" t="s">
        <v>4446</v>
      </c>
      <c r="G13" t="s">
        <v>109</v>
      </c>
    </row>
    <row r="14" spans="1:7" ht="11.25" customHeight="1" x14ac:dyDescent="0.15">
      <c r="A14" t="s">
        <v>1</v>
      </c>
      <c r="B14" t="s">
        <v>103</v>
      </c>
      <c r="C14" t="s">
        <v>4445</v>
      </c>
      <c r="D14" t="s">
        <v>113</v>
      </c>
      <c r="E14" t="s">
        <v>114</v>
      </c>
      <c r="F14" t="s">
        <v>4446</v>
      </c>
      <c r="G14" t="s">
        <v>112</v>
      </c>
    </row>
    <row r="15" spans="1:7" ht="11.25" customHeight="1" x14ac:dyDescent="0.15">
      <c r="A15" t="s">
        <v>1</v>
      </c>
      <c r="B15" t="s">
        <v>103</v>
      </c>
      <c r="C15" t="s">
        <v>4445</v>
      </c>
      <c r="D15" t="s">
        <v>116</v>
      </c>
      <c r="E15" t="s">
        <v>117</v>
      </c>
      <c r="F15" t="s">
        <v>4446</v>
      </c>
      <c r="G15" t="s">
        <v>115</v>
      </c>
    </row>
    <row r="16" spans="1:7" ht="11.25" customHeight="1" x14ac:dyDescent="0.15">
      <c r="A16" t="s">
        <v>1</v>
      </c>
      <c r="B16" t="s">
        <v>103</v>
      </c>
      <c r="C16" t="s">
        <v>4445</v>
      </c>
      <c r="D16" t="s">
        <v>119</v>
      </c>
      <c r="E16" t="s">
        <v>120</v>
      </c>
      <c r="F16" t="s">
        <v>4446</v>
      </c>
      <c r="G16" t="s">
        <v>118</v>
      </c>
    </row>
    <row r="17" spans="1:7" ht="11.25" customHeight="1" x14ac:dyDescent="0.15">
      <c r="A17" t="s">
        <v>1</v>
      </c>
      <c r="B17" t="s">
        <v>170</v>
      </c>
      <c r="C17" t="s">
        <v>171</v>
      </c>
      <c r="D17" t="s">
        <v>170</v>
      </c>
      <c r="E17" t="s">
        <v>171</v>
      </c>
      <c r="F17" t="s">
        <v>4443</v>
      </c>
      <c r="G17" t="s">
        <v>169</v>
      </c>
    </row>
    <row r="18" spans="1:7" ht="11.25" customHeight="1" x14ac:dyDescent="0.15">
      <c r="A18" t="s">
        <v>1</v>
      </c>
      <c r="B18" t="s">
        <v>174</v>
      </c>
      <c r="C18" t="s">
        <v>4451</v>
      </c>
      <c r="D18" t="s">
        <v>4452</v>
      </c>
      <c r="E18" t="s">
        <v>4453</v>
      </c>
      <c r="F18" t="s">
        <v>4446</v>
      </c>
      <c r="G18" t="s">
        <v>241</v>
      </c>
    </row>
    <row r="19" spans="1:7" ht="11.25" customHeight="1" x14ac:dyDescent="0.15">
      <c r="A19" t="s">
        <v>1</v>
      </c>
      <c r="B19" t="s">
        <v>174</v>
      </c>
      <c r="C19" t="s">
        <v>4451</v>
      </c>
      <c r="D19" t="s">
        <v>175</v>
      </c>
      <c r="E19" t="s">
        <v>176</v>
      </c>
      <c r="F19" t="s">
        <v>4454</v>
      </c>
      <c r="G19" t="s">
        <v>173</v>
      </c>
    </row>
    <row r="20" spans="1:7" ht="11.25" customHeight="1" x14ac:dyDescent="0.15">
      <c r="A20" t="s">
        <v>1</v>
      </c>
      <c r="B20" t="s">
        <v>174</v>
      </c>
      <c r="C20" t="s">
        <v>4451</v>
      </c>
      <c r="D20" t="s">
        <v>174</v>
      </c>
      <c r="E20" t="s">
        <v>4451</v>
      </c>
      <c r="F20" t="s">
        <v>4447</v>
      </c>
      <c r="G20" t="s">
        <v>259</v>
      </c>
    </row>
    <row r="21" spans="1:7" ht="11.25" customHeight="1" x14ac:dyDescent="0.15">
      <c r="A21" t="s">
        <v>1</v>
      </c>
      <c r="B21" t="s">
        <v>174</v>
      </c>
      <c r="C21" t="s">
        <v>4451</v>
      </c>
      <c r="D21" t="s">
        <v>178</v>
      </c>
      <c r="E21" t="s">
        <v>179</v>
      </c>
      <c r="F21" t="s">
        <v>4454</v>
      </c>
      <c r="G21" t="s">
        <v>177</v>
      </c>
    </row>
    <row r="22" spans="1:7" ht="11.25" customHeight="1" x14ac:dyDescent="0.15">
      <c r="A22" t="s">
        <v>1</v>
      </c>
      <c r="B22" t="s">
        <v>174</v>
      </c>
      <c r="C22" t="s">
        <v>4451</v>
      </c>
      <c r="D22" t="s">
        <v>181</v>
      </c>
      <c r="E22" t="s">
        <v>182</v>
      </c>
      <c r="F22" t="s">
        <v>4446</v>
      </c>
      <c r="G22" t="s">
        <v>180</v>
      </c>
    </row>
    <row r="23" spans="1:7" ht="11.25" customHeight="1" x14ac:dyDescent="0.15">
      <c r="A23" t="s">
        <v>1</v>
      </c>
      <c r="B23" t="s">
        <v>174</v>
      </c>
      <c r="C23" t="s">
        <v>4451</v>
      </c>
      <c r="D23" t="s">
        <v>4455</v>
      </c>
      <c r="E23" t="s">
        <v>4456</v>
      </c>
      <c r="F23" t="s">
        <v>4450</v>
      </c>
      <c r="G23" t="s">
        <v>272</v>
      </c>
    </row>
    <row r="24" spans="1:7" ht="11.25" customHeight="1" x14ac:dyDescent="0.15">
      <c r="A24" t="s">
        <v>1</v>
      </c>
      <c r="B24" t="s">
        <v>174</v>
      </c>
      <c r="C24" t="s">
        <v>4451</v>
      </c>
      <c r="D24" t="s">
        <v>184</v>
      </c>
      <c r="E24" t="s">
        <v>185</v>
      </c>
      <c r="F24" t="s">
        <v>4446</v>
      </c>
      <c r="G24" t="s">
        <v>183</v>
      </c>
    </row>
    <row r="25" spans="1:7" ht="11.25" customHeight="1" x14ac:dyDescent="0.15">
      <c r="A25" t="s">
        <v>1</v>
      </c>
      <c r="B25" t="s">
        <v>174</v>
      </c>
      <c r="C25" t="s">
        <v>4451</v>
      </c>
      <c r="D25" t="s">
        <v>4457</v>
      </c>
      <c r="E25" t="s">
        <v>4458</v>
      </c>
      <c r="F25" t="s">
        <v>4446</v>
      </c>
      <c r="G25" t="s">
        <v>281</v>
      </c>
    </row>
    <row r="26" spans="1:7" ht="11.25" customHeight="1" x14ac:dyDescent="0.15">
      <c r="A26" t="s">
        <v>1</v>
      </c>
      <c r="B26" t="s">
        <v>4459</v>
      </c>
      <c r="C26" t="s">
        <v>4460</v>
      </c>
      <c r="D26" t="s">
        <v>4459</v>
      </c>
      <c r="E26" t="s">
        <v>4460</v>
      </c>
      <c r="F26" t="s">
        <v>4443</v>
      </c>
      <c r="G26" t="s">
        <v>286</v>
      </c>
    </row>
    <row r="27" spans="1:7" ht="11.25" customHeight="1" x14ac:dyDescent="0.15">
      <c r="A27" t="s">
        <v>1</v>
      </c>
      <c r="B27" t="s">
        <v>188</v>
      </c>
      <c r="C27" t="s">
        <v>4461</v>
      </c>
      <c r="D27" t="s">
        <v>4462</v>
      </c>
      <c r="E27" t="s">
        <v>4463</v>
      </c>
      <c r="F27" t="s">
        <v>4454</v>
      </c>
      <c r="G27" t="s">
        <v>303</v>
      </c>
    </row>
    <row r="28" spans="1:7" ht="11.25" customHeight="1" x14ac:dyDescent="0.15">
      <c r="A28" t="s">
        <v>1</v>
      </c>
      <c r="B28" t="s">
        <v>188</v>
      </c>
      <c r="C28" t="s">
        <v>4461</v>
      </c>
      <c r="D28" t="s">
        <v>189</v>
      </c>
      <c r="E28" t="s">
        <v>190</v>
      </c>
      <c r="F28" t="s">
        <v>4446</v>
      </c>
      <c r="G28" t="s">
        <v>187</v>
      </c>
    </row>
    <row r="29" spans="1:7" ht="11.25" customHeight="1" x14ac:dyDescent="0.15">
      <c r="A29" t="s">
        <v>1</v>
      </c>
      <c r="B29" t="s">
        <v>188</v>
      </c>
      <c r="C29" t="s">
        <v>4461</v>
      </c>
      <c r="D29" t="s">
        <v>192</v>
      </c>
      <c r="E29" t="s">
        <v>193</v>
      </c>
      <c r="F29" t="s">
        <v>4446</v>
      </c>
      <c r="G29" t="s">
        <v>191</v>
      </c>
    </row>
    <row r="30" spans="1:7" ht="11.25" customHeight="1" x14ac:dyDescent="0.15">
      <c r="A30" t="s">
        <v>1</v>
      </c>
      <c r="B30" t="s">
        <v>188</v>
      </c>
      <c r="C30" t="s">
        <v>4461</v>
      </c>
      <c r="D30" t="s">
        <v>195</v>
      </c>
      <c r="E30" t="s">
        <v>196</v>
      </c>
      <c r="F30" t="s">
        <v>4446</v>
      </c>
      <c r="G30" t="s">
        <v>194</v>
      </c>
    </row>
    <row r="31" spans="1:7" ht="11.25" customHeight="1" x14ac:dyDescent="0.15">
      <c r="A31" t="s">
        <v>1</v>
      </c>
      <c r="B31" t="s">
        <v>188</v>
      </c>
      <c r="C31" t="s">
        <v>4461</v>
      </c>
      <c r="D31" t="s">
        <v>198</v>
      </c>
      <c r="E31" t="s">
        <v>199</v>
      </c>
      <c r="F31" t="s">
        <v>4446</v>
      </c>
      <c r="G31" t="s">
        <v>197</v>
      </c>
    </row>
    <row r="32" spans="1:7" ht="11.25" customHeight="1" x14ac:dyDescent="0.15">
      <c r="A32" t="s">
        <v>1</v>
      </c>
      <c r="B32" t="s">
        <v>188</v>
      </c>
      <c r="C32" t="s">
        <v>4461</v>
      </c>
      <c r="D32" t="s">
        <v>188</v>
      </c>
      <c r="E32" t="s">
        <v>4461</v>
      </c>
      <c r="F32" t="s">
        <v>4447</v>
      </c>
      <c r="G32" t="s">
        <v>344</v>
      </c>
    </row>
    <row r="33" spans="1:7" ht="11.25" customHeight="1" x14ac:dyDescent="0.15">
      <c r="A33" t="s">
        <v>1</v>
      </c>
      <c r="B33" t="s">
        <v>188</v>
      </c>
      <c r="C33" t="s">
        <v>4461</v>
      </c>
      <c r="D33" t="s">
        <v>201</v>
      </c>
      <c r="E33" t="s">
        <v>202</v>
      </c>
      <c r="F33" t="s">
        <v>4446</v>
      </c>
      <c r="G33" t="s">
        <v>200</v>
      </c>
    </row>
    <row r="34" spans="1:7" ht="11.25" customHeight="1" x14ac:dyDescent="0.15">
      <c r="A34" t="s">
        <v>1</v>
      </c>
      <c r="B34" t="s">
        <v>188</v>
      </c>
      <c r="C34" t="s">
        <v>4461</v>
      </c>
      <c r="D34" t="s">
        <v>204</v>
      </c>
      <c r="E34" t="s">
        <v>205</v>
      </c>
      <c r="F34" t="s">
        <v>4446</v>
      </c>
      <c r="G34" t="s">
        <v>203</v>
      </c>
    </row>
    <row r="35" spans="1:7" ht="11.25" customHeight="1" x14ac:dyDescent="0.15">
      <c r="A35" t="s">
        <v>1</v>
      </c>
      <c r="B35" t="s">
        <v>188</v>
      </c>
      <c r="C35" t="s">
        <v>4461</v>
      </c>
      <c r="D35" t="s">
        <v>207</v>
      </c>
      <c r="E35" t="s">
        <v>208</v>
      </c>
      <c r="F35" t="s">
        <v>4446</v>
      </c>
      <c r="G35" t="s">
        <v>206</v>
      </c>
    </row>
    <row r="36" spans="1:7" ht="11.25" customHeight="1" x14ac:dyDescent="0.15">
      <c r="A36" t="s">
        <v>1</v>
      </c>
      <c r="B36" t="s">
        <v>188</v>
      </c>
      <c r="C36" t="s">
        <v>4461</v>
      </c>
      <c r="D36" t="s">
        <v>210</v>
      </c>
      <c r="E36" t="s">
        <v>211</v>
      </c>
      <c r="F36" t="s">
        <v>4446</v>
      </c>
      <c r="G36" t="s">
        <v>209</v>
      </c>
    </row>
    <row r="37" spans="1:7" ht="11.25" customHeight="1" x14ac:dyDescent="0.15">
      <c r="A37" t="s">
        <v>1</v>
      </c>
      <c r="B37" t="s">
        <v>188</v>
      </c>
      <c r="C37" t="s">
        <v>4461</v>
      </c>
      <c r="D37" t="s">
        <v>4464</v>
      </c>
      <c r="E37" t="s">
        <v>4465</v>
      </c>
      <c r="F37" t="s">
        <v>4446</v>
      </c>
      <c r="G37" t="s">
        <v>1426</v>
      </c>
    </row>
    <row r="38" spans="1:7" ht="11.25" customHeight="1" x14ac:dyDescent="0.15">
      <c r="A38" t="s">
        <v>1</v>
      </c>
      <c r="B38" t="s">
        <v>214</v>
      </c>
      <c r="C38" t="s">
        <v>215</v>
      </c>
      <c r="D38" t="s">
        <v>214</v>
      </c>
      <c r="E38" t="s">
        <v>215</v>
      </c>
      <c r="F38" t="s">
        <v>4443</v>
      </c>
      <c r="G38" t="s">
        <v>213</v>
      </c>
    </row>
    <row r="39" spans="1:7" ht="11.25" customHeight="1" x14ac:dyDescent="0.15">
      <c r="A39" t="s">
        <v>1</v>
      </c>
      <c r="B39" t="s">
        <v>123</v>
      </c>
      <c r="C39" t="s">
        <v>124</v>
      </c>
      <c r="D39" t="s">
        <v>123</v>
      </c>
      <c r="E39" t="s">
        <v>124</v>
      </c>
      <c r="F39" t="s">
        <v>4444</v>
      </c>
      <c r="G39" t="s">
        <v>122</v>
      </c>
    </row>
    <row r="40" spans="1:7" ht="11.25" customHeight="1" x14ac:dyDescent="0.15">
      <c r="A40" t="s">
        <v>1</v>
      </c>
      <c r="B40" t="s">
        <v>218</v>
      </c>
      <c r="C40" t="s">
        <v>228</v>
      </c>
      <c r="D40" t="s">
        <v>219</v>
      </c>
      <c r="E40" t="s">
        <v>220</v>
      </c>
      <c r="F40" t="s">
        <v>4446</v>
      </c>
      <c r="G40" t="s">
        <v>217</v>
      </c>
    </row>
    <row r="41" spans="1:7" ht="11.25" customHeight="1" x14ac:dyDescent="0.15">
      <c r="A41" t="s">
        <v>1</v>
      </c>
      <c r="B41" t="s">
        <v>218</v>
      </c>
      <c r="C41" t="s">
        <v>228</v>
      </c>
      <c r="D41" t="s">
        <v>222</v>
      </c>
      <c r="E41" t="s">
        <v>223</v>
      </c>
      <c r="F41" t="s">
        <v>4446</v>
      </c>
      <c r="G41" t="s">
        <v>221</v>
      </c>
    </row>
    <row r="42" spans="1:7" ht="11.25" customHeight="1" x14ac:dyDescent="0.15">
      <c r="A42" t="s">
        <v>1</v>
      </c>
      <c r="B42" t="s">
        <v>218</v>
      </c>
      <c r="C42" t="s">
        <v>228</v>
      </c>
      <c r="D42" t="s">
        <v>225</v>
      </c>
      <c r="E42" t="s">
        <v>226</v>
      </c>
      <c r="F42" t="s">
        <v>4446</v>
      </c>
      <c r="G42" t="s">
        <v>224</v>
      </c>
    </row>
    <row r="43" spans="1:7" ht="11.25" customHeight="1" x14ac:dyDescent="0.15">
      <c r="A43" t="s">
        <v>1</v>
      </c>
      <c r="B43" t="s">
        <v>218</v>
      </c>
      <c r="C43" t="s">
        <v>228</v>
      </c>
      <c r="D43" t="s">
        <v>218</v>
      </c>
      <c r="E43" t="s">
        <v>228</v>
      </c>
      <c r="F43" t="s">
        <v>4447</v>
      </c>
      <c r="G43" t="s">
        <v>227</v>
      </c>
    </row>
    <row r="44" spans="1:7" ht="11.25" customHeight="1" x14ac:dyDescent="0.15">
      <c r="A44" t="s">
        <v>1</v>
      </c>
      <c r="B44" t="s">
        <v>218</v>
      </c>
      <c r="C44" t="s">
        <v>228</v>
      </c>
      <c r="D44" t="s">
        <v>239</v>
      </c>
      <c r="E44" t="s">
        <v>240</v>
      </c>
      <c r="F44" t="s">
        <v>4446</v>
      </c>
      <c r="G44" t="s">
        <v>238</v>
      </c>
    </row>
    <row r="45" spans="1:7" ht="11.25" customHeight="1" x14ac:dyDescent="0.15">
      <c r="A45" t="s">
        <v>1</v>
      </c>
      <c r="B45" t="s">
        <v>218</v>
      </c>
      <c r="C45" t="s">
        <v>228</v>
      </c>
      <c r="D45" t="s">
        <v>230</v>
      </c>
      <c r="E45" t="s">
        <v>231</v>
      </c>
      <c r="F45" t="s">
        <v>4454</v>
      </c>
      <c r="G45" t="s">
        <v>229</v>
      </c>
    </row>
    <row r="46" spans="1:7" ht="11.25" customHeight="1" x14ac:dyDescent="0.15">
      <c r="A46" t="s">
        <v>1</v>
      </c>
      <c r="B46" t="s">
        <v>218</v>
      </c>
      <c r="C46" t="s">
        <v>228</v>
      </c>
      <c r="D46" t="s">
        <v>233</v>
      </c>
      <c r="E46" t="s">
        <v>234</v>
      </c>
      <c r="F46" t="s">
        <v>4446</v>
      </c>
      <c r="G46" t="s">
        <v>232</v>
      </c>
    </row>
    <row r="47" spans="1:7" ht="11.25" customHeight="1" x14ac:dyDescent="0.15">
      <c r="A47" t="s">
        <v>1</v>
      </c>
      <c r="B47" t="s">
        <v>218</v>
      </c>
      <c r="C47" t="s">
        <v>228</v>
      </c>
      <c r="D47" t="s">
        <v>236</v>
      </c>
      <c r="E47" t="s">
        <v>237</v>
      </c>
      <c r="F47" t="s">
        <v>4446</v>
      </c>
      <c r="G47" t="s">
        <v>235</v>
      </c>
    </row>
    <row r="48" spans="1:7" ht="11.25" customHeight="1" x14ac:dyDescent="0.15">
      <c r="A48" t="s">
        <v>1</v>
      </c>
      <c r="B48" t="s">
        <v>244</v>
      </c>
      <c r="C48" t="s">
        <v>254</v>
      </c>
      <c r="D48" t="s">
        <v>244</v>
      </c>
      <c r="E48" t="s">
        <v>254</v>
      </c>
      <c r="F48" t="s">
        <v>4447</v>
      </c>
      <c r="G48" t="s">
        <v>253</v>
      </c>
    </row>
    <row r="49" spans="1:7" ht="11.25" customHeight="1" x14ac:dyDescent="0.15">
      <c r="A49" t="s">
        <v>1</v>
      </c>
      <c r="B49" t="s">
        <v>127</v>
      </c>
      <c r="C49" t="s">
        <v>128</v>
      </c>
      <c r="D49" t="s">
        <v>127</v>
      </c>
      <c r="E49" t="s">
        <v>128</v>
      </c>
      <c r="F49" t="s">
        <v>4444</v>
      </c>
      <c r="G49" t="s">
        <v>126</v>
      </c>
    </row>
    <row r="50" spans="1:7" ht="11.25" customHeight="1" x14ac:dyDescent="0.15">
      <c r="A50" t="s">
        <v>1</v>
      </c>
      <c r="B50" t="s">
        <v>257</v>
      </c>
      <c r="C50" t="s">
        <v>258</v>
      </c>
      <c r="D50" t="s">
        <v>257</v>
      </c>
      <c r="E50" t="s">
        <v>258</v>
      </c>
      <c r="F50" t="s">
        <v>4443</v>
      </c>
      <c r="G50" t="s">
        <v>256</v>
      </c>
    </row>
    <row r="51" spans="1:7" ht="11.25" customHeight="1" x14ac:dyDescent="0.15">
      <c r="A51" t="s">
        <v>1</v>
      </c>
      <c r="B51" t="s">
        <v>262</v>
      </c>
      <c r="C51" t="s">
        <v>263</v>
      </c>
      <c r="D51" t="s">
        <v>262</v>
      </c>
      <c r="E51" t="s">
        <v>263</v>
      </c>
      <c r="F51" t="s">
        <v>4443</v>
      </c>
      <c r="G51" t="s">
        <v>261</v>
      </c>
    </row>
    <row r="52" spans="1:7" ht="11.25" customHeight="1" x14ac:dyDescent="0.15">
      <c r="A52" t="s">
        <v>1</v>
      </c>
      <c r="B52" t="s">
        <v>131</v>
      </c>
      <c r="C52" t="s">
        <v>132</v>
      </c>
      <c r="D52" t="s">
        <v>131</v>
      </c>
      <c r="E52" t="s">
        <v>132</v>
      </c>
      <c r="F52" t="s">
        <v>4444</v>
      </c>
      <c r="G52" t="s">
        <v>130</v>
      </c>
    </row>
    <row r="53" spans="1:7" ht="11.25" customHeight="1" x14ac:dyDescent="0.15">
      <c r="A53" t="s">
        <v>1</v>
      </c>
      <c r="B53" t="s">
        <v>4466</v>
      </c>
      <c r="C53" t="s">
        <v>4467</v>
      </c>
      <c r="D53" t="s">
        <v>4466</v>
      </c>
      <c r="E53" t="s">
        <v>4467</v>
      </c>
      <c r="F53" t="s">
        <v>4443</v>
      </c>
      <c r="G53" t="s">
        <v>1504</v>
      </c>
    </row>
    <row r="54" spans="1:7" ht="11.25" customHeight="1" x14ac:dyDescent="0.15">
      <c r="A54" t="s">
        <v>1</v>
      </c>
      <c r="B54" t="s">
        <v>4468</v>
      </c>
      <c r="C54" t="s">
        <v>4469</v>
      </c>
      <c r="D54" t="s">
        <v>4470</v>
      </c>
      <c r="E54" t="s">
        <v>4471</v>
      </c>
      <c r="F54" t="s">
        <v>4446</v>
      </c>
      <c r="G54" t="s">
        <v>1507</v>
      </c>
    </row>
    <row r="55" spans="1:7" ht="11.25" customHeight="1" x14ac:dyDescent="0.15">
      <c r="A55" t="s">
        <v>1</v>
      </c>
      <c r="B55" t="s">
        <v>4468</v>
      </c>
      <c r="C55" t="s">
        <v>4469</v>
      </c>
      <c r="D55" t="s">
        <v>4472</v>
      </c>
      <c r="E55" t="s">
        <v>4473</v>
      </c>
      <c r="F55" t="s">
        <v>4446</v>
      </c>
      <c r="G55" t="s">
        <v>1510</v>
      </c>
    </row>
    <row r="56" spans="1:7" ht="11.25" customHeight="1" x14ac:dyDescent="0.15">
      <c r="A56" t="s">
        <v>1</v>
      </c>
      <c r="B56" t="s">
        <v>4468</v>
      </c>
      <c r="C56" t="s">
        <v>4469</v>
      </c>
      <c r="D56" t="s">
        <v>4474</v>
      </c>
      <c r="E56" t="s">
        <v>4475</v>
      </c>
      <c r="F56" t="s">
        <v>4446</v>
      </c>
      <c r="G56" t="s">
        <v>1514</v>
      </c>
    </row>
    <row r="57" spans="1:7" ht="11.25" customHeight="1" x14ac:dyDescent="0.15">
      <c r="A57" t="s">
        <v>1</v>
      </c>
      <c r="B57" t="s">
        <v>4468</v>
      </c>
      <c r="C57" t="s">
        <v>4469</v>
      </c>
      <c r="D57" t="s">
        <v>4476</v>
      </c>
      <c r="E57" t="s">
        <v>4477</v>
      </c>
      <c r="F57" t="s">
        <v>4450</v>
      </c>
      <c r="G57" t="s">
        <v>1517</v>
      </c>
    </row>
    <row r="58" spans="1:7" ht="11.25" customHeight="1" x14ac:dyDescent="0.15">
      <c r="A58" t="s">
        <v>1</v>
      </c>
      <c r="B58" t="s">
        <v>4468</v>
      </c>
      <c r="C58" t="s">
        <v>4469</v>
      </c>
      <c r="D58" t="s">
        <v>4478</v>
      </c>
      <c r="E58" t="s">
        <v>4479</v>
      </c>
      <c r="F58" t="s">
        <v>4446</v>
      </c>
      <c r="G58" t="s">
        <v>4480</v>
      </c>
    </row>
    <row r="59" spans="1:7" ht="11.25" customHeight="1" x14ac:dyDescent="0.15">
      <c r="A59" t="s">
        <v>1</v>
      </c>
      <c r="B59" t="s">
        <v>4468</v>
      </c>
      <c r="C59" t="s">
        <v>4469</v>
      </c>
      <c r="D59" t="s">
        <v>4481</v>
      </c>
      <c r="E59" t="s">
        <v>4482</v>
      </c>
      <c r="F59" t="s">
        <v>4446</v>
      </c>
      <c r="G59" t="s">
        <v>4483</v>
      </c>
    </row>
    <row r="60" spans="1:7" ht="11.25" customHeight="1" x14ac:dyDescent="0.15">
      <c r="A60" t="s">
        <v>1</v>
      </c>
      <c r="B60" t="s">
        <v>4468</v>
      </c>
      <c r="C60" t="s">
        <v>4469</v>
      </c>
      <c r="D60" t="s">
        <v>4468</v>
      </c>
      <c r="E60" t="s">
        <v>4469</v>
      </c>
      <c r="F60" t="s">
        <v>4447</v>
      </c>
      <c r="G60" t="s">
        <v>4484</v>
      </c>
    </row>
    <row r="61" spans="1:7" ht="11.25" customHeight="1" x14ac:dyDescent="0.15">
      <c r="A61" t="s">
        <v>1</v>
      </c>
      <c r="B61" t="s">
        <v>4468</v>
      </c>
      <c r="C61" t="s">
        <v>4469</v>
      </c>
      <c r="D61" t="s">
        <v>4485</v>
      </c>
      <c r="E61" t="s">
        <v>4486</v>
      </c>
      <c r="F61" t="s">
        <v>4446</v>
      </c>
      <c r="G61" t="s">
        <v>4487</v>
      </c>
    </row>
    <row r="62" spans="1:7" ht="11.25" customHeight="1" x14ac:dyDescent="0.15">
      <c r="A62" t="s">
        <v>1</v>
      </c>
      <c r="B62" t="s">
        <v>266</v>
      </c>
      <c r="C62" t="s">
        <v>267</v>
      </c>
      <c r="D62" t="s">
        <v>266</v>
      </c>
      <c r="E62" t="s">
        <v>267</v>
      </c>
      <c r="F62" t="s">
        <v>4443</v>
      </c>
      <c r="G62" t="s">
        <v>265</v>
      </c>
    </row>
    <row r="63" spans="1:7" ht="11.25" customHeight="1" x14ac:dyDescent="0.15">
      <c r="A63" t="s">
        <v>1</v>
      </c>
      <c r="B63" t="s">
        <v>270</v>
      </c>
      <c r="C63" t="s">
        <v>271</v>
      </c>
      <c r="D63" t="s">
        <v>270</v>
      </c>
      <c r="E63" t="s">
        <v>271</v>
      </c>
      <c r="F63" t="s">
        <v>4443</v>
      </c>
      <c r="G63" t="s">
        <v>269</v>
      </c>
    </row>
    <row r="64" spans="1:7" ht="11.25" customHeight="1" x14ac:dyDescent="0.15">
      <c r="A64" t="s">
        <v>1</v>
      </c>
      <c r="B64" t="s">
        <v>139</v>
      </c>
      <c r="C64" t="s">
        <v>4488</v>
      </c>
      <c r="D64" t="s">
        <v>140</v>
      </c>
      <c r="E64" t="s">
        <v>141</v>
      </c>
      <c r="F64" t="s">
        <v>4446</v>
      </c>
      <c r="G64" t="s">
        <v>138</v>
      </c>
    </row>
    <row r="65" spans="1:7" ht="11.25" customHeight="1" x14ac:dyDescent="0.15">
      <c r="A65" t="s">
        <v>1</v>
      </c>
      <c r="B65" t="s">
        <v>139</v>
      </c>
      <c r="C65" t="s">
        <v>4488</v>
      </c>
      <c r="D65" t="s">
        <v>143</v>
      </c>
      <c r="E65" t="s">
        <v>144</v>
      </c>
      <c r="F65" t="s">
        <v>4446</v>
      </c>
      <c r="G65" t="s">
        <v>142</v>
      </c>
    </row>
    <row r="66" spans="1:7" ht="11.25" customHeight="1" x14ac:dyDescent="0.15">
      <c r="A66" t="s">
        <v>1</v>
      </c>
      <c r="B66" t="s">
        <v>139</v>
      </c>
      <c r="C66" t="s">
        <v>4488</v>
      </c>
      <c r="D66" t="s">
        <v>146</v>
      </c>
      <c r="E66" t="s">
        <v>147</v>
      </c>
      <c r="F66" t="s">
        <v>4446</v>
      </c>
      <c r="G66" t="s">
        <v>145</v>
      </c>
    </row>
    <row r="67" spans="1:7" ht="11.25" customHeight="1" x14ac:dyDescent="0.15">
      <c r="A67" t="s">
        <v>1</v>
      </c>
      <c r="B67" t="s">
        <v>139</v>
      </c>
      <c r="C67" t="s">
        <v>4488</v>
      </c>
      <c r="D67" t="s">
        <v>149</v>
      </c>
      <c r="E67" t="s">
        <v>150</v>
      </c>
      <c r="F67" t="s">
        <v>4446</v>
      </c>
      <c r="G67" t="s">
        <v>148</v>
      </c>
    </row>
    <row r="68" spans="1:7" ht="11.25" customHeight="1" x14ac:dyDescent="0.15">
      <c r="A68" t="s">
        <v>1</v>
      </c>
      <c r="B68" t="s">
        <v>139</v>
      </c>
      <c r="C68" t="s">
        <v>4488</v>
      </c>
      <c r="D68" t="s">
        <v>152</v>
      </c>
      <c r="E68" t="s">
        <v>153</v>
      </c>
      <c r="F68" t="s">
        <v>4446</v>
      </c>
      <c r="G68" t="s">
        <v>151</v>
      </c>
    </row>
    <row r="69" spans="1:7" ht="11.25" customHeight="1" x14ac:dyDescent="0.15">
      <c r="A69" t="s">
        <v>1</v>
      </c>
      <c r="B69" t="s">
        <v>139</v>
      </c>
      <c r="C69" t="s">
        <v>4488</v>
      </c>
      <c r="D69" t="s">
        <v>139</v>
      </c>
      <c r="E69" t="s">
        <v>4488</v>
      </c>
      <c r="F69" t="s">
        <v>4447</v>
      </c>
      <c r="G69" t="s">
        <v>4489</v>
      </c>
    </row>
    <row r="70" spans="1:7" ht="11.25" customHeight="1" x14ac:dyDescent="0.15">
      <c r="A70" t="s">
        <v>1</v>
      </c>
      <c r="B70" t="s">
        <v>139</v>
      </c>
      <c r="C70" t="s">
        <v>4488</v>
      </c>
      <c r="D70" t="s">
        <v>155</v>
      </c>
      <c r="E70" t="s">
        <v>156</v>
      </c>
      <c r="F70" t="s">
        <v>4446</v>
      </c>
      <c r="G70" t="s">
        <v>154</v>
      </c>
    </row>
    <row r="71" spans="1:7" ht="11.25" customHeight="1" x14ac:dyDescent="0.15">
      <c r="A71" t="s">
        <v>1</v>
      </c>
      <c r="B71" t="s">
        <v>139</v>
      </c>
      <c r="C71" t="s">
        <v>4488</v>
      </c>
      <c r="D71" t="s">
        <v>158</v>
      </c>
      <c r="E71" t="s">
        <v>159</v>
      </c>
      <c r="F71" t="s">
        <v>4446</v>
      </c>
      <c r="G71" t="s">
        <v>157</v>
      </c>
    </row>
    <row r="72" spans="1:7" ht="11.25" customHeight="1" x14ac:dyDescent="0.15">
      <c r="A72" t="s">
        <v>1</v>
      </c>
      <c r="B72" t="s">
        <v>139</v>
      </c>
      <c r="C72" t="s">
        <v>4488</v>
      </c>
      <c r="D72" t="s">
        <v>161</v>
      </c>
      <c r="E72" t="s">
        <v>162</v>
      </c>
      <c r="F72" t="s">
        <v>4446</v>
      </c>
      <c r="G72" t="s">
        <v>160</v>
      </c>
    </row>
    <row r="73" spans="1:7" ht="11.25" customHeight="1" x14ac:dyDescent="0.15">
      <c r="A73" t="s">
        <v>1</v>
      </c>
      <c r="B73" t="s">
        <v>4490</v>
      </c>
      <c r="C73" t="s">
        <v>4491</v>
      </c>
      <c r="D73" t="s">
        <v>4490</v>
      </c>
      <c r="E73" t="s">
        <v>4491</v>
      </c>
      <c r="F73" t="s">
        <v>4443</v>
      </c>
      <c r="G73" t="s">
        <v>4492</v>
      </c>
    </row>
    <row r="74" spans="1:7" ht="11.25" customHeight="1" x14ac:dyDescent="0.15">
      <c r="A74" t="s">
        <v>1</v>
      </c>
      <c r="B74" t="s">
        <v>4493</v>
      </c>
      <c r="C74" t="s">
        <v>4494</v>
      </c>
      <c r="D74" t="s">
        <v>4493</v>
      </c>
      <c r="E74" t="s">
        <v>4494</v>
      </c>
      <c r="F74" t="s">
        <v>4444</v>
      </c>
      <c r="G74" t="s">
        <v>4495</v>
      </c>
    </row>
    <row r="75" spans="1:7" ht="11.25" customHeight="1" x14ac:dyDescent="0.15">
      <c r="A75" t="s">
        <v>1</v>
      </c>
      <c r="B75" t="s">
        <v>275</v>
      </c>
      <c r="C75" t="s">
        <v>276</v>
      </c>
      <c r="D75" t="s">
        <v>275</v>
      </c>
      <c r="E75" t="s">
        <v>276</v>
      </c>
      <c r="F75" t="s">
        <v>4443</v>
      </c>
      <c r="G75" t="s">
        <v>274</v>
      </c>
    </row>
    <row r="76" spans="1:7" ht="11.25" customHeight="1" x14ac:dyDescent="0.15">
      <c r="A76" t="s">
        <v>1</v>
      </c>
      <c r="B76" t="s">
        <v>279</v>
      </c>
      <c r="C76" t="s">
        <v>280</v>
      </c>
      <c r="D76" t="s">
        <v>279</v>
      </c>
      <c r="E76" t="s">
        <v>280</v>
      </c>
      <c r="F76" t="s">
        <v>4443</v>
      </c>
      <c r="G76" t="s">
        <v>278</v>
      </c>
    </row>
    <row r="77" spans="1:7" ht="11.25" customHeight="1" x14ac:dyDescent="0.15">
      <c r="A77" t="s">
        <v>1</v>
      </c>
      <c r="B77" t="s">
        <v>284</v>
      </c>
      <c r="C77" t="s">
        <v>285</v>
      </c>
      <c r="D77" t="s">
        <v>284</v>
      </c>
      <c r="E77" t="s">
        <v>285</v>
      </c>
      <c r="F77" t="s">
        <v>4443</v>
      </c>
      <c r="G77" t="s">
        <v>283</v>
      </c>
    </row>
    <row r="78" spans="1:7" ht="11.25" customHeight="1" x14ac:dyDescent="0.15">
      <c r="A78" t="s">
        <v>1</v>
      </c>
      <c r="B78" t="s">
        <v>4496</v>
      </c>
      <c r="C78" t="s">
        <v>4497</v>
      </c>
      <c r="D78" t="s">
        <v>4496</v>
      </c>
      <c r="E78" t="s">
        <v>4497</v>
      </c>
      <c r="F78" t="s">
        <v>4443</v>
      </c>
      <c r="G78" t="s">
        <v>4498</v>
      </c>
    </row>
    <row r="79" spans="1:7" ht="11.25" customHeight="1" x14ac:dyDescent="0.15">
      <c r="A79" t="s">
        <v>1</v>
      </c>
      <c r="B79" t="s">
        <v>289</v>
      </c>
      <c r="C79" t="s">
        <v>302</v>
      </c>
      <c r="D79" t="s">
        <v>290</v>
      </c>
      <c r="E79" t="s">
        <v>291</v>
      </c>
      <c r="F79" t="s">
        <v>4446</v>
      </c>
      <c r="G79" t="s">
        <v>288</v>
      </c>
    </row>
    <row r="80" spans="1:7" ht="11.25" customHeight="1" x14ac:dyDescent="0.15">
      <c r="A80" t="s">
        <v>1</v>
      </c>
      <c r="B80" t="s">
        <v>289</v>
      </c>
      <c r="C80" t="s">
        <v>302</v>
      </c>
      <c r="D80" t="s">
        <v>4499</v>
      </c>
      <c r="E80" t="s">
        <v>4500</v>
      </c>
      <c r="F80" t="s">
        <v>4450</v>
      </c>
      <c r="G80" t="s">
        <v>4501</v>
      </c>
    </row>
    <row r="81" spans="1:7" ht="11.25" customHeight="1" x14ac:dyDescent="0.15">
      <c r="A81" t="s">
        <v>1</v>
      </c>
      <c r="B81" t="s">
        <v>289</v>
      </c>
      <c r="C81" t="s">
        <v>302</v>
      </c>
      <c r="D81" t="s">
        <v>293</v>
      </c>
      <c r="E81" t="s">
        <v>294</v>
      </c>
      <c r="F81" t="s">
        <v>4446</v>
      </c>
      <c r="G81" t="s">
        <v>292</v>
      </c>
    </row>
    <row r="82" spans="1:7" ht="11.25" customHeight="1" x14ac:dyDescent="0.15">
      <c r="A82" t="s">
        <v>1</v>
      </c>
      <c r="B82" t="s">
        <v>289</v>
      </c>
      <c r="C82" t="s">
        <v>302</v>
      </c>
      <c r="D82" t="s">
        <v>4502</v>
      </c>
      <c r="E82" t="s">
        <v>4503</v>
      </c>
      <c r="F82" t="s">
        <v>4454</v>
      </c>
      <c r="G82" t="s">
        <v>4504</v>
      </c>
    </row>
    <row r="83" spans="1:7" ht="11.25" customHeight="1" x14ac:dyDescent="0.15">
      <c r="A83" t="s">
        <v>1</v>
      </c>
      <c r="B83" t="s">
        <v>289</v>
      </c>
      <c r="C83" t="s">
        <v>302</v>
      </c>
      <c r="D83" t="s">
        <v>296</v>
      </c>
      <c r="E83" t="s">
        <v>297</v>
      </c>
      <c r="F83" t="s">
        <v>4446</v>
      </c>
      <c r="G83" t="s">
        <v>295</v>
      </c>
    </row>
    <row r="84" spans="1:7" ht="11.25" customHeight="1" x14ac:dyDescent="0.15">
      <c r="A84" t="s">
        <v>1</v>
      </c>
      <c r="B84" t="s">
        <v>289</v>
      </c>
      <c r="C84" t="s">
        <v>302</v>
      </c>
      <c r="D84" t="s">
        <v>289</v>
      </c>
      <c r="E84" t="s">
        <v>302</v>
      </c>
      <c r="F84" t="s">
        <v>4447</v>
      </c>
      <c r="G84" t="s">
        <v>301</v>
      </c>
    </row>
    <row r="85" spans="1:7" ht="11.25" customHeight="1" x14ac:dyDescent="0.15">
      <c r="A85" t="s">
        <v>1</v>
      </c>
      <c r="B85" t="s">
        <v>289</v>
      </c>
      <c r="C85" t="s">
        <v>302</v>
      </c>
      <c r="D85" t="s">
        <v>299</v>
      </c>
      <c r="E85" t="s">
        <v>300</v>
      </c>
      <c r="F85" t="s">
        <v>4446</v>
      </c>
      <c r="G85" t="s">
        <v>298</v>
      </c>
    </row>
    <row r="86" spans="1:7" ht="11.25" customHeight="1" x14ac:dyDescent="0.15">
      <c r="A86" t="s">
        <v>1</v>
      </c>
      <c r="B86" t="s">
        <v>306</v>
      </c>
      <c r="C86" t="s">
        <v>307</v>
      </c>
      <c r="D86" t="s">
        <v>306</v>
      </c>
      <c r="E86" t="s">
        <v>307</v>
      </c>
      <c r="F86" t="s">
        <v>4443</v>
      </c>
      <c r="G86" t="s">
        <v>305</v>
      </c>
    </row>
    <row r="87" spans="1:7" ht="11.25" customHeight="1" x14ac:dyDescent="0.15">
      <c r="A87" t="s">
        <v>1</v>
      </c>
      <c r="B87" t="s">
        <v>4505</v>
      </c>
      <c r="C87" t="s">
        <v>4506</v>
      </c>
      <c r="D87" t="s">
        <v>4505</v>
      </c>
      <c r="E87" t="s">
        <v>4506</v>
      </c>
      <c r="F87" t="s">
        <v>4443</v>
      </c>
      <c r="G87" t="s">
        <v>4507</v>
      </c>
    </row>
    <row r="88" spans="1:7" ht="11.25" customHeight="1" x14ac:dyDescent="0.15">
      <c r="A88" t="s">
        <v>1</v>
      </c>
      <c r="B88" t="s">
        <v>310</v>
      </c>
      <c r="C88" t="s">
        <v>4508</v>
      </c>
      <c r="D88" t="s">
        <v>311</v>
      </c>
      <c r="E88" t="s">
        <v>312</v>
      </c>
      <c r="F88" t="s">
        <v>4446</v>
      </c>
      <c r="G88" t="s">
        <v>309</v>
      </c>
    </row>
    <row r="89" spans="1:7" ht="11.25" customHeight="1" x14ac:dyDescent="0.15">
      <c r="A89" t="s">
        <v>1</v>
      </c>
      <c r="B89" t="s">
        <v>310</v>
      </c>
      <c r="C89" t="s">
        <v>4508</v>
      </c>
      <c r="D89" t="s">
        <v>314</v>
      </c>
      <c r="E89" t="s">
        <v>315</v>
      </c>
      <c r="F89" t="s">
        <v>4446</v>
      </c>
      <c r="G89" t="s">
        <v>313</v>
      </c>
    </row>
    <row r="90" spans="1:7" ht="11.25" customHeight="1" x14ac:dyDescent="0.15">
      <c r="A90" t="s">
        <v>1</v>
      </c>
      <c r="B90" t="s">
        <v>310</v>
      </c>
      <c r="C90" t="s">
        <v>4508</v>
      </c>
      <c r="D90" t="s">
        <v>317</v>
      </c>
      <c r="E90" t="s">
        <v>318</v>
      </c>
      <c r="F90" t="s">
        <v>4446</v>
      </c>
      <c r="G90" t="s">
        <v>316</v>
      </c>
    </row>
    <row r="91" spans="1:7" ht="11.25" customHeight="1" x14ac:dyDescent="0.15">
      <c r="A91" t="s">
        <v>1</v>
      </c>
      <c r="B91" t="s">
        <v>310</v>
      </c>
      <c r="C91" t="s">
        <v>4508</v>
      </c>
      <c r="D91" t="s">
        <v>320</v>
      </c>
      <c r="E91" t="s">
        <v>321</v>
      </c>
      <c r="F91" t="s">
        <v>4454</v>
      </c>
      <c r="G91" t="s">
        <v>319</v>
      </c>
    </row>
    <row r="92" spans="1:7" ht="11.25" customHeight="1" x14ac:dyDescent="0.15">
      <c r="A92" t="s">
        <v>1</v>
      </c>
      <c r="B92" t="s">
        <v>310</v>
      </c>
      <c r="C92" t="s">
        <v>4508</v>
      </c>
      <c r="D92" t="s">
        <v>323</v>
      </c>
      <c r="E92" t="s">
        <v>324</v>
      </c>
      <c r="F92" t="s">
        <v>4446</v>
      </c>
      <c r="G92" t="s">
        <v>322</v>
      </c>
    </row>
    <row r="93" spans="1:7" ht="11.25" customHeight="1" x14ac:dyDescent="0.15">
      <c r="A93" t="s">
        <v>1</v>
      </c>
      <c r="B93" t="s">
        <v>310</v>
      </c>
      <c r="C93" t="s">
        <v>4508</v>
      </c>
      <c r="D93" t="s">
        <v>310</v>
      </c>
      <c r="E93" t="s">
        <v>4508</v>
      </c>
      <c r="F93" t="s">
        <v>4447</v>
      </c>
      <c r="G93" t="s">
        <v>4509</v>
      </c>
    </row>
    <row r="94" spans="1:7" ht="11.25" customHeight="1" x14ac:dyDescent="0.15">
      <c r="A94" t="s">
        <v>1</v>
      </c>
      <c r="B94" t="s">
        <v>310</v>
      </c>
      <c r="C94" t="s">
        <v>4508</v>
      </c>
      <c r="D94" t="s">
        <v>326</v>
      </c>
      <c r="E94" t="s">
        <v>327</v>
      </c>
      <c r="F94" t="s">
        <v>4454</v>
      </c>
      <c r="G94" t="s">
        <v>325</v>
      </c>
    </row>
    <row r="95" spans="1:7" ht="11.25" customHeight="1" x14ac:dyDescent="0.15">
      <c r="A95" t="s">
        <v>1</v>
      </c>
      <c r="B95" t="s">
        <v>310</v>
      </c>
      <c r="C95" t="s">
        <v>4508</v>
      </c>
      <c r="D95" t="s">
        <v>329</v>
      </c>
      <c r="E95" t="s">
        <v>330</v>
      </c>
      <c r="F95" t="s">
        <v>4446</v>
      </c>
      <c r="G95" t="s">
        <v>328</v>
      </c>
    </row>
    <row r="96" spans="1:7" ht="11.25" customHeight="1" x14ac:dyDescent="0.15">
      <c r="A96" t="s">
        <v>1</v>
      </c>
      <c r="B96" t="s">
        <v>4510</v>
      </c>
      <c r="C96" t="s">
        <v>4511</v>
      </c>
      <c r="D96" t="s">
        <v>4510</v>
      </c>
      <c r="E96" t="s">
        <v>4511</v>
      </c>
      <c r="F96" t="s">
        <v>4443</v>
      </c>
      <c r="G96" t="s">
        <v>4512</v>
      </c>
    </row>
    <row r="97" spans="1:7" ht="11.25" customHeight="1" x14ac:dyDescent="0.15">
      <c r="A97" t="s">
        <v>1</v>
      </c>
      <c r="B97" t="s">
        <v>333</v>
      </c>
      <c r="C97" t="s">
        <v>4513</v>
      </c>
      <c r="D97" t="s">
        <v>334</v>
      </c>
      <c r="E97" t="s">
        <v>335</v>
      </c>
      <c r="F97" t="s">
        <v>4446</v>
      </c>
      <c r="G97" t="s">
        <v>332</v>
      </c>
    </row>
    <row r="98" spans="1:7" ht="11.25" customHeight="1" x14ac:dyDescent="0.15">
      <c r="A98" t="s">
        <v>1</v>
      </c>
      <c r="B98" t="s">
        <v>333</v>
      </c>
      <c r="C98" t="s">
        <v>4513</v>
      </c>
      <c r="D98" t="s">
        <v>4514</v>
      </c>
      <c r="E98" t="s">
        <v>4515</v>
      </c>
      <c r="F98" t="s">
        <v>4446</v>
      </c>
      <c r="G98" t="s">
        <v>4516</v>
      </c>
    </row>
    <row r="99" spans="1:7" ht="11.25" customHeight="1" x14ac:dyDescent="0.15">
      <c r="A99" t="s">
        <v>1</v>
      </c>
      <c r="B99" t="s">
        <v>333</v>
      </c>
      <c r="C99" t="s">
        <v>4513</v>
      </c>
      <c r="D99" t="s">
        <v>337</v>
      </c>
      <c r="E99" t="s">
        <v>338</v>
      </c>
      <c r="F99" t="s">
        <v>4446</v>
      </c>
      <c r="G99" t="s">
        <v>336</v>
      </c>
    </row>
    <row r="100" spans="1:7" ht="11.25" customHeight="1" x14ac:dyDescent="0.15">
      <c r="A100" t="s">
        <v>1</v>
      </c>
      <c r="B100" t="s">
        <v>333</v>
      </c>
      <c r="C100" t="s">
        <v>4513</v>
      </c>
      <c r="D100" t="s">
        <v>4517</v>
      </c>
      <c r="E100" t="s">
        <v>4518</v>
      </c>
      <c r="F100" t="s">
        <v>4446</v>
      </c>
      <c r="G100" t="s">
        <v>4519</v>
      </c>
    </row>
    <row r="101" spans="1:7" ht="11.25" customHeight="1" x14ac:dyDescent="0.15">
      <c r="A101" t="s">
        <v>1</v>
      </c>
      <c r="B101" t="s">
        <v>333</v>
      </c>
      <c r="C101" t="s">
        <v>4513</v>
      </c>
      <c r="D101" t="s">
        <v>333</v>
      </c>
      <c r="E101" t="s">
        <v>4513</v>
      </c>
      <c r="F101" t="s">
        <v>4447</v>
      </c>
      <c r="G101" t="s">
        <v>4520</v>
      </c>
    </row>
    <row r="102" spans="1:7" ht="11.25" customHeight="1" x14ac:dyDescent="0.15">
      <c r="A102" t="s">
        <v>1</v>
      </c>
      <c r="B102" t="s">
        <v>333</v>
      </c>
      <c r="C102" t="s">
        <v>4513</v>
      </c>
      <c r="D102" t="s">
        <v>340</v>
      </c>
      <c r="E102" t="s">
        <v>341</v>
      </c>
      <c r="F102" t="s">
        <v>4446</v>
      </c>
      <c r="G102" t="s">
        <v>339</v>
      </c>
    </row>
    <row r="103" spans="1:7" ht="11.25" customHeight="1" x14ac:dyDescent="0.15">
      <c r="A103" t="s">
        <v>1</v>
      </c>
      <c r="B103" t="s">
        <v>351</v>
      </c>
      <c r="C103" t="s">
        <v>352</v>
      </c>
      <c r="D103" t="s">
        <v>351</v>
      </c>
      <c r="E103" t="s">
        <v>352</v>
      </c>
      <c r="F103" t="s">
        <v>4444</v>
      </c>
      <c r="G103" t="s">
        <v>350</v>
      </c>
    </row>
    <row r="104" spans="1:7" ht="11.25" customHeight="1" x14ac:dyDescent="0.15">
      <c r="A104" t="s">
        <v>1</v>
      </c>
      <c r="B104" t="s">
        <v>4521</v>
      </c>
      <c r="C104" t="s">
        <v>4522</v>
      </c>
      <c r="D104" t="s">
        <v>4521</v>
      </c>
      <c r="E104" t="s">
        <v>4522</v>
      </c>
      <c r="F104" t="s">
        <v>4444</v>
      </c>
      <c r="G104" t="s">
        <v>4523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x14ac:dyDescent="0.15"/>
  <cols>
    <col min="2" max="2" width="84.28515625" customWidth="1"/>
  </cols>
  <sheetData>
    <row r="1" spans="1:3" ht="11.25" customHeight="1" x14ac:dyDescent="0.15">
      <c r="A1" t="s">
        <v>4617</v>
      </c>
      <c r="B1" t="s">
        <v>4618</v>
      </c>
      <c r="C1" t="s">
        <v>1016</v>
      </c>
    </row>
    <row r="2" spans="1:3" ht="11.25" customHeight="1" x14ac:dyDescent="0.15">
      <c r="A2">
        <v>4189678</v>
      </c>
      <c r="B2" t="s">
        <v>4619</v>
      </c>
      <c r="C2" t="s">
        <v>4620</v>
      </c>
    </row>
    <row r="3" spans="1:3" ht="11.25" customHeight="1" x14ac:dyDescent="0.15">
      <c r="A3">
        <v>4190415</v>
      </c>
      <c r="B3" t="s">
        <v>4621</v>
      </c>
      <c r="C3" t="s">
        <v>4620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
  <sheetViews>
    <sheetView showGridLines="0" workbookViewId="0"/>
  </sheetViews>
  <sheetFormatPr defaultColWidth="9.140625" defaultRowHeight="15" customHeight="1" x14ac:dyDescent="0.15"/>
  <cols>
    <col min="1" max="1" width="38.42578125" customWidth="1"/>
  </cols>
  <sheetData>
    <row r="1" spans="1:2" ht="15" customHeight="1" x14ac:dyDescent="0.15">
      <c r="A1" t="s">
        <v>4622</v>
      </c>
      <c r="B1" t="s">
        <v>4623</v>
      </c>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x14ac:dyDescent="0.15"/>
  <sheetData>
    <row r="1" spans="1:2" ht="11.25" customHeight="1" x14ac:dyDescent="0.15">
      <c r="A1" t="s">
        <v>4624</v>
      </c>
      <c r="B1" t="b">
        <v>1</v>
      </c>
    </row>
    <row r="2" spans="1:2" ht="11.25" customHeight="1" x14ac:dyDescent="0.15">
      <c r="A2" t="s">
        <v>4625</v>
      </c>
      <c r="B2" t="b">
        <v>0</v>
      </c>
    </row>
    <row r="3" spans="1:2" ht="11.25" customHeight="1" x14ac:dyDescent="0.15">
      <c r="A3" t="s">
        <v>4626</v>
      </c>
      <c r="B3" t="b">
        <v>1</v>
      </c>
    </row>
    <row r="4" spans="1:2" ht="11.25" customHeight="1" x14ac:dyDescent="0.15">
      <c r="A4" t="s">
        <v>4627</v>
      </c>
      <c r="B4" t="b">
        <v>0</v>
      </c>
    </row>
    <row r="5" spans="1:2" ht="11.25" customHeight="1" x14ac:dyDescent="0.15">
      <c r="A5" t="s">
        <v>4628</v>
      </c>
      <c r="B5" t="b">
        <v>0</v>
      </c>
    </row>
    <row r="6" spans="1:2" ht="11.25" customHeight="1" x14ac:dyDescent="0.15">
      <c r="A6" t="s">
        <v>4629</v>
      </c>
      <c r="B6" t="b">
        <v>0</v>
      </c>
    </row>
    <row r="7" spans="1:2" ht="11.25" customHeight="1" x14ac:dyDescent="0.15">
      <c r="A7" t="s">
        <v>4630</v>
      </c>
      <c r="B7" t="b">
        <v>0</v>
      </c>
    </row>
    <row r="8" spans="1:2" ht="11.25" customHeight="1" x14ac:dyDescent="0.15">
      <c r="A8" t="s">
        <v>4631</v>
      </c>
      <c r="B8" t="b">
        <v>0</v>
      </c>
    </row>
    <row r="9" spans="1:2" ht="11.25" customHeight="1" x14ac:dyDescent="0.15">
      <c r="A9" t="s">
        <v>4632</v>
      </c>
      <c r="B9" t="b">
        <v>0</v>
      </c>
    </row>
    <row r="10" spans="1:2" ht="11.25" customHeight="1" x14ac:dyDescent="0.15">
      <c r="A10" t="s">
        <v>4633</v>
      </c>
      <c r="B10" t="b">
        <v>1</v>
      </c>
    </row>
    <row r="11" spans="1:2" ht="11.25" customHeight="1" x14ac:dyDescent="0.15">
      <c r="A11" t="s">
        <v>4634</v>
      </c>
      <c r="B11" t="b">
        <v>0</v>
      </c>
    </row>
    <row r="12" spans="1:2" ht="11.25" customHeight="1" x14ac:dyDescent="0.15">
      <c r="A12" t="s">
        <v>4635</v>
      </c>
      <c r="B12" t="b">
        <v>0</v>
      </c>
    </row>
    <row r="13" spans="1:2" ht="11.25" customHeight="1" x14ac:dyDescent="0.15">
      <c r="A13" t="s">
        <v>4636</v>
      </c>
      <c r="B13" t="b">
        <v>0</v>
      </c>
    </row>
    <row r="14" spans="1:2" ht="11.25" customHeight="1" x14ac:dyDescent="0.15">
      <c r="A14" t="s">
        <v>4637</v>
      </c>
      <c r="B14" t="b">
        <v>0</v>
      </c>
    </row>
    <row r="15" spans="1:2" ht="11.25" customHeight="1" x14ac:dyDescent="0.15">
      <c r="A15" t="s">
        <v>4638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x14ac:dyDescent="0.15"/>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70"/>
  <sheetViews>
    <sheetView showGridLines="0" workbookViewId="0"/>
  </sheetViews>
  <sheetFormatPr defaultColWidth="9.140625" defaultRowHeight="11.25" customHeight="1" x14ac:dyDescent="0.15"/>
  <cols>
    <col min="1" max="1" width="36.28515625" customWidth="1"/>
    <col min="2" max="2" width="21.140625" customWidth="1"/>
  </cols>
  <sheetData>
    <row r="1" spans="1:2" ht="11.25" customHeight="1" x14ac:dyDescent="0.15">
      <c r="A1" t="s">
        <v>4639</v>
      </c>
      <c r="B1" t="s">
        <v>4640</v>
      </c>
    </row>
    <row r="2" spans="1:2" ht="11.25" customHeight="1" x14ac:dyDescent="0.15">
      <c r="A2" t="s">
        <v>4641</v>
      </c>
      <c r="B2" t="s">
        <v>4642</v>
      </c>
    </row>
    <row r="3" spans="1:2" ht="11.25" customHeight="1" x14ac:dyDescent="0.15">
      <c r="A3" t="s">
        <v>4643</v>
      </c>
      <c r="B3" t="s">
        <v>4644</v>
      </c>
    </row>
    <row r="4" spans="1:2" ht="11.25" customHeight="1" x14ac:dyDescent="0.15">
      <c r="A4" t="s">
        <v>4645</v>
      </c>
      <c r="B4" t="s">
        <v>4646</v>
      </c>
    </row>
    <row r="5" spans="1:2" ht="11.25" customHeight="1" x14ac:dyDescent="0.15">
      <c r="A5" t="s">
        <v>4647</v>
      </c>
      <c r="B5" t="s">
        <v>4648</v>
      </c>
    </row>
    <row r="6" spans="1:2" ht="11.25" customHeight="1" x14ac:dyDescent="0.15">
      <c r="A6" t="s">
        <v>4649</v>
      </c>
      <c r="B6" t="s">
        <v>4650</v>
      </c>
    </row>
    <row r="7" spans="1:2" ht="11.25" customHeight="1" x14ac:dyDescent="0.15">
      <c r="A7" t="s">
        <v>4651</v>
      </c>
      <c r="B7" t="s">
        <v>4652</v>
      </c>
    </row>
    <row r="8" spans="1:2" ht="11.25" customHeight="1" x14ac:dyDescent="0.15">
      <c r="A8" t="s">
        <v>4653</v>
      </c>
      <c r="B8" t="s">
        <v>4654</v>
      </c>
    </row>
    <row r="9" spans="1:2" ht="11.25" customHeight="1" x14ac:dyDescent="0.15">
      <c r="A9" t="s">
        <v>4655</v>
      </c>
      <c r="B9" t="s">
        <v>4656</v>
      </c>
    </row>
    <row r="10" spans="1:2" ht="11.25" customHeight="1" x14ac:dyDescent="0.15">
      <c r="A10" t="s">
        <v>4657</v>
      </c>
      <c r="B10" t="s">
        <v>4658</v>
      </c>
    </row>
    <row r="11" spans="1:2" ht="11.25" customHeight="1" x14ac:dyDescent="0.15">
      <c r="A11" t="s">
        <v>4659</v>
      </c>
      <c r="B11" t="s">
        <v>4660</v>
      </c>
    </row>
    <row r="12" spans="1:2" ht="11.25" customHeight="1" x14ac:dyDescent="0.15">
      <c r="A12" t="s">
        <v>4661</v>
      </c>
      <c r="B12" t="s">
        <v>4662</v>
      </c>
    </row>
    <row r="13" spans="1:2" ht="11.25" customHeight="1" x14ac:dyDescent="0.15">
      <c r="A13" t="s">
        <v>4663</v>
      </c>
      <c r="B13" t="s">
        <v>4664</v>
      </c>
    </row>
    <row r="14" spans="1:2" ht="11.25" customHeight="1" x14ac:dyDescent="0.15">
      <c r="A14" t="s">
        <v>4665</v>
      </c>
      <c r="B14" t="s">
        <v>4666</v>
      </c>
    </row>
    <row r="15" spans="1:2" ht="11.25" customHeight="1" x14ac:dyDescent="0.15">
      <c r="A15" t="s">
        <v>4667</v>
      </c>
      <c r="B15" t="s">
        <v>4668</v>
      </c>
    </row>
    <row r="16" spans="1:2" ht="11.25" customHeight="1" x14ac:dyDescent="0.15">
      <c r="A16" t="s">
        <v>4669</v>
      </c>
      <c r="B16" t="s">
        <v>4670</v>
      </c>
    </row>
    <row r="17" spans="1:2" ht="11.25" customHeight="1" x14ac:dyDescent="0.15">
      <c r="A17" t="s">
        <v>4671</v>
      </c>
      <c r="B17" t="s">
        <v>4672</v>
      </c>
    </row>
    <row r="18" spans="1:2" ht="11.25" customHeight="1" x14ac:dyDescent="0.15">
      <c r="A18" t="s">
        <v>4673</v>
      </c>
      <c r="B18" t="s">
        <v>4674</v>
      </c>
    </row>
    <row r="19" spans="1:2" ht="11.25" customHeight="1" x14ac:dyDescent="0.15">
      <c r="A19" t="s">
        <v>4675</v>
      </c>
      <c r="B19" t="s">
        <v>4676</v>
      </c>
    </row>
    <row r="20" spans="1:2" ht="11.25" customHeight="1" x14ac:dyDescent="0.15">
      <c r="A20" t="s">
        <v>4677</v>
      </c>
      <c r="B20" t="s">
        <v>4678</v>
      </c>
    </row>
    <row r="21" spans="1:2" ht="11.25" customHeight="1" x14ac:dyDescent="0.15">
      <c r="A21" t="s">
        <v>4679</v>
      </c>
      <c r="B21" t="s">
        <v>4680</v>
      </c>
    </row>
    <row r="22" spans="1:2" ht="11.25" customHeight="1" x14ac:dyDescent="0.15">
      <c r="A22" t="s">
        <v>4681</v>
      </c>
      <c r="B22" t="s">
        <v>4682</v>
      </c>
    </row>
    <row r="23" spans="1:2" ht="11.25" customHeight="1" x14ac:dyDescent="0.15">
      <c r="A23" t="s">
        <v>4683</v>
      </c>
      <c r="B23" t="s">
        <v>4684</v>
      </c>
    </row>
    <row r="24" spans="1:2" ht="11.25" customHeight="1" x14ac:dyDescent="0.15">
      <c r="A24" t="s">
        <v>4685</v>
      </c>
      <c r="B24" t="s">
        <v>4686</v>
      </c>
    </row>
    <row r="25" spans="1:2" ht="11.25" customHeight="1" x14ac:dyDescent="0.15">
      <c r="A25" t="s">
        <v>4687</v>
      </c>
      <c r="B25" t="s">
        <v>4688</v>
      </c>
    </row>
    <row r="26" spans="1:2" ht="11.25" customHeight="1" x14ac:dyDescent="0.15">
      <c r="A26" t="s">
        <v>4689</v>
      </c>
      <c r="B26" t="s">
        <v>4690</v>
      </c>
    </row>
    <row r="27" spans="1:2" ht="11.25" customHeight="1" x14ac:dyDescent="0.15">
      <c r="A27" t="s">
        <v>4691</v>
      </c>
      <c r="B27" t="s">
        <v>4692</v>
      </c>
    </row>
    <row r="28" spans="1:2" ht="11.25" customHeight="1" x14ac:dyDescent="0.15">
      <c r="A28" t="s">
        <v>4693</v>
      </c>
      <c r="B28" t="s">
        <v>4694</v>
      </c>
    </row>
    <row r="29" spans="1:2" ht="11.25" customHeight="1" x14ac:dyDescent="0.15">
      <c r="A29" t="s">
        <v>4695</v>
      </c>
      <c r="B29" t="s">
        <v>4696</v>
      </c>
    </row>
    <row r="30" spans="1:2" ht="11.25" customHeight="1" x14ac:dyDescent="0.15">
      <c r="A30" t="s">
        <v>4697</v>
      </c>
      <c r="B30" t="s">
        <v>4698</v>
      </c>
    </row>
    <row r="31" spans="1:2" ht="11.25" customHeight="1" x14ac:dyDescent="0.15">
      <c r="A31" t="s">
        <v>4699</v>
      </c>
      <c r="B31" t="s">
        <v>4700</v>
      </c>
    </row>
    <row r="32" spans="1:2" ht="11.25" customHeight="1" x14ac:dyDescent="0.15">
      <c r="A32" t="s">
        <v>4701</v>
      </c>
      <c r="B32" t="s">
        <v>4702</v>
      </c>
    </row>
    <row r="33" spans="1:2" ht="11.25" customHeight="1" x14ac:dyDescent="0.15">
      <c r="A33" t="s">
        <v>4703</v>
      </c>
      <c r="B33" t="s">
        <v>4704</v>
      </c>
    </row>
    <row r="34" spans="1:2" ht="11.25" customHeight="1" x14ac:dyDescent="0.15">
      <c r="A34" t="s">
        <v>4705</v>
      </c>
      <c r="B34" t="s">
        <v>4706</v>
      </c>
    </row>
    <row r="35" spans="1:2" ht="11.25" customHeight="1" x14ac:dyDescent="0.15">
      <c r="A35" t="s">
        <v>4707</v>
      </c>
      <c r="B35" t="s">
        <v>4708</v>
      </c>
    </row>
    <row r="36" spans="1:2" ht="11.25" customHeight="1" x14ac:dyDescent="0.15">
      <c r="A36" t="s">
        <v>4709</v>
      </c>
      <c r="B36" t="s">
        <v>4710</v>
      </c>
    </row>
    <row r="37" spans="1:2" ht="11.25" customHeight="1" x14ac:dyDescent="0.15">
      <c r="A37" t="s">
        <v>4711</v>
      </c>
      <c r="B37" t="s">
        <v>4712</v>
      </c>
    </row>
    <row r="38" spans="1:2" ht="11.25" customHeight="1" x14ac:dyDescent="0.15">
      <c r="A38" t="s">
        <v>4713</v>
      </c>
      <c r="B38" t="s">
        <v>4714</v>
      </c>
    </row>
    <row r="39" spans="1:2" ht="11.25" customHeight="1" x14ac:dyDescent="0.15">
      <c r="A39" t="s">
        <v>4715</v>
      </c>
      <c r="B39" t="s">
        <v>4716</v>
      </c>
    </row>
    <row r="40" spans="1:2" ht="11.25" customHeight="1" x14ac:dyDescent="0.15">
      <c r="A40" t="s">
        <v>4717</v>
      </c>
      <c r="B40" t="s">
        <v>4718</v>
      </c>
    </row>
    <row r="41" spans="1:2" ht="11.25" customHeight="1" x14ac:dyDescent="0.15">
      <c r="A41" t="s">
        <v>4719</v>
      </c>
      <c r="B41" t="s">
        <v>4720</v>
      </c>
    </row>
    <row r="42" spans="1:2" ht="11.25" customHeight="1" x14ac:dyDescent="0.15">
      <c r="A42" t="s">
        <v>4721</v>
      </c>
      <c r="B42" t="s">
        <v>4722</v>
      </c>
    </row>
    <row r="43" spans="1:2" ht="11.25" customHeight="1" x14ac:dyDescent="0.15">
      <c r="A43" t="s">
        <v>4723</v>
      </c>
      <c r="B43" t="s">
        <v>4724</v>
      </c>
    </row>
    <row r="44" spans="1:2" ht="11.25" customHeight="1" x14ac:dyDescent="0.15">
      <c r="A44" t="s">
        <v>4725</v>
      </c>
      <c r="B44" t="s">
        <v>4726</v>
      </c>
    </row>
    <row r="45" spans="1:2" ht="11.25" customHeight="1" x14ac:dyDescent="0.15">
      <c r="A45" t="s">
        <v>4727</v>
      </c>
      <c r="B45" t="s">
        <v>4728</v>
      </c>
    </row>
    <row r="46" spans="1:2" ht="11.25" customHeight="1" x14ac:dyDescent="0.15">
      <c r="A46" t="s">
        <v>4729</v>
      </c>
      <c r="B46" t="s">
        <v>4730</v>
      </c>
    </row>
    <row r="47" spans="1:2" ht="11.25" customHeight="1" x14ac:dyDescent="0.15">
      <c r="A47" t="s">
        <v>4731</v>
      </c>
      <c r="B47" t="s">
        <v>4732</v>
      </c>
    </row>
    <row r="48" spans="1:2" ht="11.25" customHeight="1" x14ac:dyDescent="0.15">
      <c r="A48" t="s">
        <v>4733</v>
      </c>
      <c r="B48" t="s">
        <v>4734</v>
      </c>
    </row>
    <row r="49" spans="1:2" ht="11.25" customHeight="1" x14ac:dyDescent="0.15">
      <c r="A49" t="s">
        <v>4735</v>
      </c>
      <c r="B49" t="s">
        <v>4736</v>
      </c>
    </row>
    <row r="50" spans="1:2" ht="11.25" customHeight="1" x14ac:dyDescent="0.15">
      <c r="A50" t="s">
        <v>4737</v>
      </c>
      <c r="B50" t="s">
        <v>4738</v>
      </c>
    </row>
    <row r="51" spans="1:2" ht="11.25" customHeight="1" x14ac:dyDescent="0.15">
      <c r="A51" t="s">
        <v>4739</v>
      </c>
      <c r="B51" t="s">
        <v>4740</v>
      </c>
    </row>
    <row r="52" spans="1:2" ht="11.25" customHeight="1" x14ac:dyDescent="0.15">
      <c r="A52" t="s">
        <v>4741</v>
      </c>
      <c r="B52" t="s">
        <v>4742</v>
      </c>
    </row>
    <row r="53" spans="1:2" ht="11.25" customHeight="1" x14ac:dyDescent="0.15">
      <c r="A53" t="s">
        <v>4743</v>
      </c>
      <c r="B53" t="s">
        <v>4744</v>
      </c>
    </row>
    <row r="54" spans="1:2" ht="11.25" customHeight="1" x14ac:dyDescent="0.15">
      <c r="A54" t="s">
        <v>4745</v>
      </c>
      <c r="B54" t="s">
        <v>4746</v>
      </c>
    </row>
    <row r="55" spans="1:2" ht="11.25" customHeight="1" x14ac:dyDescent="0.15">
      <c r="A55" t="s">
        <v>4747</v>
      </c>
      <c r="B55" t="s">
        <v>4748</v>
      </c>
    </row>
    <row r="56" spans="1:2" ht="11.25" customHeight="1" x14ac:dyDescent="0.15">
      <c r="A56" t="s">
        <v>4749</v>
      </c>
      <c r="B56" t="s">
        <v>4750</v>
      </c>
    </row>
    <row r="57" spans="1:2" ht="11.25" customHeight="1" x14ac:dyDescent="0.15">
      <c r="A57" t="s">
        <v>4751</v>
      </c>
      <c r="B57" t="s">
        <v>4752</v>
      </c>
    </row>
    <row r="58" spans="1:2" ht="11.25" customHeight="1" x14ac:dyDescent="0.15">
      <c r="A58" t="s">
        <v>4753</v>
      </c>
      <c r="B58" t="s">
        <v>4754</v>
      </c>
    </row>
    <row r="59" spans="1:2" ht="11.25" customHeight="1" x14ac:dyDescent="0.15">
      <c r="A59" t="s">
        <v>4755</v>
      </c>
      <c r="B59" t="s">
        <v>4756</v>
      </c>
    </row>
    <row r="60" spans="1:2" ht="11.25" customHeight="1" x14ac:dyDescent="0.15">
      <c r="A60" t="s">
        <v>4757</v>
      </c>
      <c r="B60" t="s">
        <v>4758</v>
      </c>
    </row>
    <row r="61" spans="1:2" ht="11.25" customHeight="1" x14ac:dyDescent="0.15">
      <c r="B61" t="s">
        <v>4759</v>
      </c>
    </row>
    <row r="62" spans="1:2" ht="11.25" customHeight="1" x14ac:dyDescent="0.15">
      <c r="B62" t="s">
        <v>4760</v>
      </c>
    </row>
    <row r="63" spans="1:2" ht="11.25" customHeight="1" x14ac:dyDescent="0.15">
      <c r="B63" t="s">
        <v>4761</v>
      </c>
    </row>
    <row r="64" spans="1:2" ht="11.25" customHeight="1" x14ac:dyDescent="0.15">
      <c r="B64" t="s">
        <v>4762</v>
      </c>
    </row>
    <row r="65" spans="2:2" ht="11.25" customHeight="1" x14ac:dyDescent="0.15">
      <c r="B65" t="s">
        <v>4763</v>
      </c>
    </row>
    <row r="66" spans="2:2" ht="11.25" customHeight="1" x14ac:dyDescent="0.15">
      <c r="B66" t="s">
        <v>4764</v>
      </c>
    </row>
    <row r="67" spans="2:2" ht="11.25" customHeight="1" x14ac:dyDescent="0.15">
      <c r="B67" t="s">
        <v>4765</v>
      </c>
    </row>
    <row r="68" spans="2:2" ht="11.25" customHeight="1" x14ac:dyDescent="0.15">
      <c r="B68" t="s">
        <v>4766</v>
      </c>
    </row>
    <row r="69" spans="2:2" ht="11.25" customHeight="1" x14ac:dyDescent="0.15">
      <c r="B69" t="s">
        <v>4767</v>
      </c>
    </row>
    <row r="70" spans="2:2" ht="11.25" customHeight="1" x14ac:dyDescent="0.15">
      <c r="B70" t="s">
        <v>4768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6"/>
  <sheetViews>
    <sheetView showGridLines="0" workbookViewId="0"/>
  </sheetViews>
  <sheetFormatPr defaultColWidth="9.140625" defaultRowHeight="11.25" customHeight="1" x14ac:dyDescent="0.15"/>
  <cols>
    <col min="1" max="1" width="3.7109375" customWidth="1"/>
    <col min="2" max="2" width="90.7109375" customWidth="1"/>
  </cols>
  <sheetData>
    <row r="1" spans="2:2" ht="11.25" customHeight="1" x14ac:dyDescent="0.15">
      <c r="B1" t="s">
        <v>4769</v>
      </c>
    </row>
    <row r="2" spans="2:2" ht="90" customHeight="1" x14ac:dyDescent="0.15">
      <c r="B2" t="s">
        <v>4770</v>
      </c>
    </row>
    <row r="3" spans="2:2" ht="67.5" customHeight="1" x14ac:dyDescent="0.15">
      <c r="B3" t="s">
        <v>4771</v>
      </c>
    </row>
    <row r="4" spans="2:2" ht="33.75" customHeight="1" x14ac:dyDescent="0.15">
      <c r="B4" t="s">
        <v>4772</v>
      </c>
    </row>
    <row r="5" spans="2:2" ht="11.25" customHeight="1" x14ac:dyDescent="0.15">
      <c r="B5" t="s">
        <v>4773</v>
      </c>
    </row>
    <row r="6" spans="2:2" ht="22.5" customHeight="1" x14ac:dyDescent="0.15">
      <c r="B6" t="s">
        <v>4774</v>
      </c>
    </row>
    <row r="7" spans="2:2" ht="22.5" customHeight="1" x14ac:dyDescent="0.15">
      <c r="B7" t="s">
        <v>4775</v>
      </c>
    </row>
    <row r="8" spans="2:2" ht="22.5" customHeight="1" x14ac:dyDescent="0.15">
      <c r="B8" t="s">
        <v>4776</v>
      </c>
    </row>
    <row r="9" spans="2:2" ht="22.5" customHeight="1" x14ac:dyDescent="0.15">
      <c r="B9" t="s">
        <v>4777</v>
      </c>
    </row>
    <row r="10" spans="2:2" ht="56.25" customHeight="1" x14ac:dyDescent="0.15">
      <c r="B10" t="s">
        <v>4778</v>
      </c>
    </row>
    <row r="11" spans="2:2" ht="12.75" customHeight="1" x14ac:dyDescent="0.15">
      <c r="B11" t="s">
        <v>4779</v>
      </c>
    </row>
    <row r="12" spans="2:2" ht="11.25" customHeight="1" x14ac:dyDescent="0.15">
      <c r="B12" t="s">
        <v>4780</v>
      </c>
    </row>
    <row r="13" spans="2:2" ht="22.5" customHeight="1" x14ac:dyDescent="0.15">
      <c r="B13" t="s">
        <v>4781</v>
      </c>
    </row>
    <row r="14" spans="2:2" ht="67.5" customHeight="1" x14ac:dyDescent="0.15">
      <c r="B14" t="s">
        <v>4782</v>
      </c>
    </row>
    <row r="15" spans="2:2" ht="22.5" customHeight="1" x14ac:dyDescent="0.15">
      <c r="B15" t="s">
        <v>4783</v>
      </c>
    </row>
    <row r="16" spans="2:2" ht="11.25" customHeight="1" x14ac:dyDescent="0.15">
      <c r="B16" t="s">
        <v>4784</v>
      </c>
    </row>
    <row r="17" spans="2:2" ht="33.75" customHeight="1" x14ac:dyDescent="0.15">
      <c r="B17" t="s">
        <v>4785</v>
      </c>
    </row>
    <row r="18" spans="2:2" ht="33.75" customHeight="1" x14ac:dyDescent="0.15">
      <c r="B18" t="s">
        <v>4786</v>
      </c>
    </row>
    <row r="19" spans="2:2" ht="11.25" customHeight="1" x14ac:dyDescent="0.15">
      <c r="B19" t="s">
        <v>4787</v>
      </c>
    </row>
    <row r="20" spans="2:2" ht="33.75" customHeight="1" x14ac:dyDescent="0.15">
      <c r="B20" t="s">
        <v>4788</v>
      </c>
    </row>
    <row r="21" spans="2:2" ht="11.25" customHeight="1" x14ac:dyDescent="0.15">
      <c r="B21" t="s">
        <v>4789</v>
      </c>
    </row>
    <row r="22" spans="2:2" ht="11.25" customHeight="1" x14ac:dyDescent="0.15">
      <c r="B22" t="s">
        <v>4790</v>
      </c>
    </row>
    <row r="24" spans="2:2" ht="22.5" customHeight="1" x14ac:dyDescent="0.15">
      <c r="B24" t="s">
        <v>4791</v>
      </c>
    </row>
    <row r="26" spans="2:2" ht="11.25" customHeight="1" x14ac:dyDescent="0.15">
      <c r="B26" t="s">
        <v>4792</v>
      </c>
    </row>
    <row r="27" spans="2:2" ht="22.5" customHeight="1" x14ac:dyDescent="0.15">
      <c r="B27" t="s">
        <v>1720</v>
      </c>
    </row>
    <row r="28" spans="2:2" ht="56.25" customHeight="1" x14ac:dyDescent="0.15">
      <c r="B28" t="s">
        <v>4793</v>
      </c>
    </row>
    <row r="29" spans="2:2" ht="11.25" customHeight="1" x14ac:dyDescent="0.15">
      <c r="B29" t="s">
        <v>4794</v>
      </c>
    </row>
    <row r="30" spans="2:2" ht="22.5" customHeight="1" x14ac:dyDescent="0.15">
      <c r="B30" t="s">
        <v>4795</v>
      </c>
    </row>
    <row r="32" spans="2:2" ht="11.25" customHeight="1" x14ac:dyDescent="0.15">
      <c r="B32" t="s">
        <v>4796</v>
      </c>
    </row>
    <row r="33" spans="1:2" ht="14.25" customHeight="1" x14ac:dyDescent="0.15">
      <c r="A33">
        <v>1</v>
      </c>
      <c r="B33" t="s">
        <v>4797</v>
      </c>
    </row>
    <row r="34" spans="1:2" ht="14.25" customHeight="1" x14ac:dyDescent="0.15">
      <c r="A34">
        <v>2</v>
      </c>
      <c r="B34" t="s">
        <v>4798</v>
      </c>
    </row>
    <row r="35" spans="1:2" ht="11.25" customHeight="1" x14ac:dyDescent="0.15">
      <c r="B35" t="s">
        <v>4799</v>
      </c>
    </row>
    <row r="36" spans="1:2" ht="11.25" customHeight="1" x14ac:dyDescent="0.15">
      <c r="B36" t="s">
        <v>4800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1991</vt:i4>
      </vt:variant>
    </vt:vector>
  </HeadingPairs>
  <TitlesOfParts>
    <vt:vector size="2076"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B_FHD_diff_67</vt:lpstr>
      <vt:lpstr>B_FHD_diff_68</vt:lpstr>
      <vt:lpstr>B_FHD_diff_69</vt:lpstr>
      <vt:lpstr>B_FHD_diff_70</vt:lpstr>
      <vt:lpstr>B_FHD_diff_71</vt:lpstr>
      <vt:lpstr>B_FHD_diff_72</vt:lpstr>
      <vt:lpstr>B_FHD_diff_73</vt:lpstr>
      <vt:lpstr>B_FHD_diff_74</vt:lpstr>
      <vt:lpstr>B_FHD_diff_75</vt:lpstr>
      <vt:lpstr>B_FHD_diff_76</vt:lpstr>
      <vt:lpstr>B_FHD_diff_77</vt:lpstr>
      <vt:lpstr>B_FHD_diff_78</vt:lpstr>
      <vt:lpstr>B_FHD_diff_79</vt:lpstr>
      <vt:lpstr>B_FHD_diff_80</vt:lpstr>
      <vt:lpstr>B_FHD_diff_81</vt:lpstr>
      <vt:lpstr>B_FHD_diff_82</vt:lpstr>
      <vt:lpstr>B_FHD_diff_83</vt:lpstr>
      <vt:lpstr>B_FHD_diff_84</vt:lpstr>
      <vt:lpstr>B_FHD_diff_85</vt:lpstr>
      <vt:lpstr>B_FHD_diff_86</vt:lpstr>
      <vt:lpstr>B_FHD_diff_87</vt:lpstr>
      <vt:lpstr>B_FHD_diff_88</vt:lpstr>
      <vt:lpstr>B_FHD_diff_89</vt:lpstr>
      <vt:lpstr>B_FHD_diff_90</vt:lpstr>
      <vt:lpstr>B_FHD_diff_91</vt:lpstr>
      <vt:lpstr>B_FHD_diff_92</vt:lpstr>
      <vt:lpstr>B_FHD_diff_93</vt:lpstr>
      <vt:lpstr>B_FHD_diff_94</vt:lpstr>
      <vt:lpstr>B_FHD_diff_95</vt:lpstr>
      <vt:lpstr>B_FHD_diff_96</vt:lpstr>
      <vt:lpstr>B_FHD_diff_97</vt:lpstr>
      <vt:lpstr>B_FHD_FLAG_DIFFERENTIATION</vt:lpstr>
      <vt:lpstr>B_FHD_FLAG_INDEX_1</vt:lpstr>
      <vt:lpstr>B_FHD_FLAG_INDEX_2</vt:lpstr>
      <vt:lpstr>B_FHD_TKO_DATA_TOP80_ACTIVITY</vt:lpstr>
      <vt:lpstr>B_FHD_TKO_diff_1</vt:lpstr>
      <vt:lpstr>B_FHD_TKO_diff_66</vt:lpstr>
      <vt:lpstr>B_FHD_TKO_diff_67</vt:lpstr>
      <vt:lpstr>B_FHD_TKO_diff_68</vt:lpstr>
      <vt:lpstr>B_FHD_TKO_diff_69</vt:lpstr>
      <vt:lpstr>B_FHD_TKO_diff_70</vt:lpstr>
      <vt:lpstr>B_FHD_TKO_diff_71</vt:lpstr>
      <vt:lpstr>B_FHD_TKO_diff_72</vt:lpstr>
      <vt:lpstr>B_FHD_TKO_diff_73</vt:lpstr>
      <vt:lpstr>B_FHD_TKO_diff_74</vt:lpstr>
      <vt:lpstr>B_FHD_TKO_diff_75</vt:lpstr>
      <vt:lpstr>B_FHD_TKO_diff_76</vt:lpstr>
      <vt:lpstr>B_FHD_TKO_diff_77</vt:lpstr>
      <vt:lpstr>B_FHD_TKO_diff_78</vt:lpstr>
      <vt:lpstr>B_FHD_TKO_diff_79</vt:lpstr>
      <vt:lpstr>B_FHD_TKO_diff_80</vt:lpstr>
      <vt:lpstr>B_FHD_TKO_diff_81</vt:lpstr>
      <vt:lpstr>B_FHD_TKO_diff_82</vt:lpstr>
      <vt:lpstr>B_FHD_TKO_diff_83</vt:lpstr>
      <vt:lpstr>B_FHD_TKO_diff_84</vt:lpstr>
      <vt:lpstr>B_FHD_TKO_diff_85</vt:lpstr>
      <vt:lpstr>B_FHD_TKO_diff_86</vt:lpstr>
      <vt:lpstr>B_FHD_TKO_diff_87</vt:lpstr>
      <vt:lpstr>B_FHD_TKO_diff_88</vt:lpstr>
      <vt:lpstr>B_FHD_TKO_diff_89</vt:lpstr>
      <vt:lpstr>B_FHD_TKO_diff_90</vt:lpstr>
      <vt:lpstr>B_FHD_TKO_diff_91</vt:lpstr>
      <vt:lpstr>B_FHD_TKO_diff_92</vt:lpstr>
      <vt:lpstr>B_FHD_TKO_diff_93</vt:lpstr>
      <vt:lpstr>B_FHD_TKO_diff_94</vt:lpstr>
      <vt:lpstr>B_FHD_TKO_diff_95</vt:lpstr>
      <vt:lpstr>B_FHD_TKO_diff_96</vt:lpstr>
      <vt:lpstr>B_FHD_TKO_diff_97</vt:lpstr>
      <vt:lpstr>B_FHD_TKO_FLAG_DIFFERENTIATION</vt:lpstr>
      <vt:lpstr>B_FHD_TKO_TRANS_DATA_TOP80_ACTIVITY</vt:lpstr>
      <vt:lpstr>B_FHD_TKO_TRANS_diff_1</vt:lpstr>
      <vt:lpstr>B_FHD_TKO_TRANS_diff_66</vt:lpstr>
      <vt:lpstr>B_FHD_TKO_TRANS_diff_67</vt:lpstr>
      <vt:lpstr>B_FHD_TKO_TRANS_diff_68</vt:lpstr>
      <vt:lpstr>B_FHD_TKO_TRANS_diff_69</vt:lpstr>
      <vt:lpstr>B_FHD_TKO_TRANS_diff_70</vt:lpstr>
      <vt:lpstr>B_FHD_TKO_TRANS_diff_71</vt:lpstr>
      <vt:lpstr>B_FHD_TKO_TRANS_diff_72</vt:lpstr>
      <vt:lpstr>B_FHD_TKO_TRANS_diff_73</vt:lpstr>
      <vt:lpstr>B_FHD_TKO_TRANS_diff_74</vt:lpstr>
      <vt:lpstr>B_FHD_TKO_TRANS_diff_75</vt:lpstr>
      <vt:lpstr>B_FHD_TKO_TRANS_diff_76</vt:lpstr>
      <vt:lpstr>B_FHD_TKO_TRANS_diff_77</vt:lpstr>
      <vt:lpstr>B_FHD_TKO_TRANS_diff_78</vt:lpstr>
      <vt:lpstr>B_FHD_TKO_TRANS_diff_79</vt:lpstr>
      <vt:lpstr>B_FHD_TKO_TRANS_diff_80</vt:lpstr>
      <vt:lpstr>B_FHD_TKO_TRANS_diff_81</vt:lpstr>
      <vt:lpstr>B_FHD_TKO_TRANS_diff_82</vt:lpstr>
      <vt:lpstr>B_FHD_TKO_TRANS_diff_83</vt:lpstr>
      <vt:lpstr>B_FHD_TKO_TRANS_diff_84</vt:lpstr>
      <vt:lpstr>B_FHD_TKO_TRANS_diff_85</vt:lpstr>
      <vt:lpstr>B_FHD_TKO_TRANS_diff_86</vt:lpstr>
      <vt:lpstr>B_FHD_TKO_TRANS_diff_87</vt:lpstr>
      <vt:lpstr>B_FHD_TKO_TRANS_diff_88</vt:lpstr>
      <vt:lpstr>B_FHD_TKO_TRANS_diff_89</vt:lpstr>
      <vt:lpstr>B_FHD_TKO_TRANS_diff_90</vt:lpstr>
      <vt:lpstr>B_FHD_TKO_TRANS_diff_91</vt:lpstr>
      <vt:lpstr>B_FHD_TKO_TRANS_diff_92</vt:lpstr>
      <vt:lpstr>B_FHD_TKO_TRANS_diff_93</vt:lpstr>
      <vt:lpstr>B_FHD_TKO_TRANS_diff_94</vt:lpstr>
      <vt:lpstr>B_FHD_TKO_TRANS_diff_95</vt:lpstr>
      <vt:lpstr>B_FHD_TKO_TRANS_diff_96</vt:lpstr>
      <vt:lpstr>B_FHD_TKO_TRANS_diff_97</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B_FHD20_diff_67</vt:lpstr>
      <vt:lpstr>B_FHD20_diff_68</vt:lpstr>
      <vt:lpstr>B_FHD20_diff_69</vt:lpstr>
      <vt:lpstr>B_FHD20_diff_70</vt:lpstr>
      <vt:lpstr>B_FHD20_diff_71</vt:lpstr>
      <vt:lpstr>B_FHD20_diff_72</vt:lpstr>
      <vt:lpstr>B_FHD20_diff_73</vt:lpstr>
      <vt:lpstr>B_FHD20_diff_74</vt:lpstr>
      <vt:lpstr>B_FHD20_diff_75</vt:lpstr>
      <vt:lpstr>B_FHD20_diff_76</vt:lpstr>
      <vt:lpstr>B_FHD20_diff_77</vt:lpstr>
      <vt:lpstr>B_FHD20_diff_78</vt:lpstr>
      <vt:lpstr>B_FHD20_diff_79</vt:lpstr>
      <vt:lpstr>B_FHD20_diff_80</vt:lpstr>
      <vt:lpstr>B_FHD20_diff_81</vt:lpstr>
      <vt:lpstr>B_FHD20_diff_82</vt:lpstr>
      <vt:lpstr>B_FHD20_diff_83</vt:lpstr>
      <vt:lpstr>B_FHD20_diff_84</vt:lpstr>
      <vt:lpstr>B_FHD20_diff_85</vt:lpstr>
      <vt:lpstr>B_FHD20_diff_86</vt:lpstr>
      <vt:lpstr>B_FHD20_diff_87</vt:lpstr>
      <vt:lpstr>B_FHD20_diff_88</vt:lpstr>
      <vt:lpstr>B_FHD20_diff_89</vt:lpstr>
      <vt:lpstr>B_FHD20_diff_90</vt:lpstr>
      <vt:lpstr>B_FHD20_diff_91</vt:lpstr>
      <vt:lpstr>B_FHD20_diff_92</vt:lpstr>
      <vt:lpstr>B_FHD20_diff_93</vt:lpstr>
      <vt:lpstr>B_FHD20_diff_94</vt:lpstr>
      <vt:lpstr>B_FHD20_diff_95</vt:lpstr>
      <vt:lpstr>B_FHD20_diff_96</vt:lpstr>
      <vt:lpstr>B_FHD20_diff_97</vt:lpstr>
      <vt:lpstr>B_FHD20_FLAG_FHD</vt:lpstr>
      <vt:lpstr>B_FHD20_NUMBER_COLUMN_MARKER</vt:lpstr>
      <vt:lpstr>B_FHD20_PART_COLUMN_MARKER</vt:lpstr>
      <vt:lpstr>B_KNE_diff_1</vt:lpstr>
      <vt:lpstr>B_KNE_diff_66</vt:lpstr>
      <vt:lpstr>B_KNE_diff_67</vt:lpstr>
      <vt:lpstr>B_KNE_diff_68</vt:lpstr>
      <vt:lpstr>B_KNE_diff_69</vt:lpstr>
      <vt:lpstr>B_KNE_diff_70</vt:lpstr>
      <vt:lpstr>B_KNE_diff_71</vt:lpstr>
      <vt:lpstr>B_KNE_diff_72</vt:lpstr>
      <vt:lpstr>B_KNE_diff_73</vt:lpstr>
      <vt:lpstr>B_KNE_diff_74</vt:lpstr>
      <vt:lpstr>B_KNE_diff_75</vt:lpstr>
      <vt:lpstr>B_KNE_diff_76</vt:lpstr>
      <vt:lpstr>B_KNE_diff_77</vt:lpstr>
      <vt:lpstr>B_KNE_diff_78</vt:lpstr>
      <vt:lpstr>B_KNE_diff_79</vt:lpstr>
      <vt:lpstr>B_KNE_diff_80</vt:lpstr>
      <vt:lpstr>B_KNE_diff_81</vt:lpstr>
      <vt:lpstr>B_KNE_diff_82</vt:lpstr>
      <vt:lpstr>B_KNE_diff_83</vt:lpstr>
      <vt:lpstr>B_KNE_diff_84</vt:lpstr>
      <vt:lpstr>B_KNE_diff_85</vt:lpstr>
      <vt:lpstr>B_KNE_diff_86</vt:lpstr>
      <vt:lpstr>B_KNE_diff_87</vt:lpstr>
      <vt:lpstr>B_KNE_diff_88</vt:lpstr>
      <vt:lpstr>B_KNE_diff_89</vt:lpstr>
      <vt:lpstr>B_KNE_diff_90</vt:lpstr>
      <vt:lpstr>B_KNE_diff_91</vt:lpstr>
      <vt:lpstr>B_KNE_diff_92</vt:lpstr>
      <vt:lpstr>B_KNE_diff_93</vt:lpstr>
      <vt:lpstr>B_KNE_diff_94</vt:lpstr>
      <vt:lpstr>B_KNE_diff_95</vt:lpstr>
      <vt:lpstr>B_KNE_diff_96</vt:lpstr>
      <vt:lpstr>B_KNE_diff_97</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Q_Limit_diff_67</vt:lpstr>
      <vt:lpstr>Q_Limit_diff_68</vt:lpstr>
      <vt:lpstr>Q_Limit_diff_69</vt:lpstr>
      <vt:lpstr>Q_Limit_diff_70</vt:lpstr>
      <vt:lpstr>Q_Limit_diff_71</vt:lpstr>
      <vt:lpstr>Q_Limit_diff_72</vt:lpstr>
      <vt:lpstr>Q_Limit_diff_73</vt:lpstr>
      <vt:lpstr>Q_Limit_diff_74</vt:lpstr>
      <vt:lpstr>Q_Limit_diff_75</vt:lpstr>
      <vt:lpstr>Q_Limit_diff_76</vt:lpstr>
      <vt:lpstr>Q_Limit_diff_77</vt:lpstr>
      <vt:lpstr>Q_Limit_diff_78</vt:lpstr>
      <vt:lpstr>Q_Limit_diff_79</vt:lpstr>
      <vt:lpstr>Q_Limit_diff_80</vt:lpstr>
      <vt:lpstr>Q_Limit_diff_81</vt:lpstr>
      <vt:lpstr>Q_Limit_diff_82</vt:lpstr>
      <vt:lpstr>Q_Limit_diff_83</vt:lpstr>
      <vt:lpstr>Q_Limit_diff_84</vt:lpstr>
      <vt:lpstr>Q_Limit_diff_85</vt:lpstr>
      <vt:lpstr>Q_Limit_diff_86</vt:lpstr>
      <vt:lpstr>Q_Limit_diff_87</vt:lpstr>
      <vt:lpstr>Q_Limit_diff_88</vt:lpstr>
      <vt:lpstr>Q_Limit_diff_89</vt:lpstr>
      <vt:lpstr>Q_Limit_diff_90</vt:lpstr>
      <vt:lpstr>Q_Limit_diff_91</vt:lpstr>
      <vt:lpstr>Q_Limit_diff_92</vt:lpstr>
      <vt:lpstr>Q_Limit_diff_93</vt:lpstr>
      <vt:lpstr>Q_Limit_diff_94</vt:lpstr>
      <vt:lpstr>Q_Limit_diff_95</vt:lpstr>
      <vt:lpstr>Q_Limit_diff_96</vt:lpstr>
      <vt:lpstr>Q_Limit_diff_97</vt:lpstr>
      <vt:lpstr>Q_LIMIT_p3</vt:lpstr>
      <vt:lpstr>Q_LIMIT_p4</vt:lpstr>
      <vt:lpstr>Q_PH_diff_1</vt:lpstr>
      <vt:lpstr>Q_PH_diff_66</vt:lpstr>
      <vt:lpstr>Q_PH_diff_67</vt:lpstr>
      <vt:lpstr>Q_PH_diff_68</vt:lpstr>
      <vt:lpstr>Q_PH_diff_69</vt:lpstr>
      <vt:lpstr>Q_PH_diff_70</vt:lpstr>
      <vt:lpstr>Q_PH_diff_71</vt:lpstr>
      <vt:lpstr>Q_PH_diff_72</vt:lpstr>
      <vt:lpstr>Q_PH_diff_73</vt:lpstr>
      <vt:lpstr>Q_PH_diff_74</vt:lpstr>
      <vt:lpstr>Q_PH_diff_75</vt:lpstr>
      <vt:lpstr>Q_PH_diff_76</vt:lpstr>
      <vt:lpstr>Q_PH_diff_77</vt:lpstr>
      <vt:lpstr>Q_PH_diff_78</vt:lpstr>
      <vt:lpstr>Q_PH_diff_79</vt:lpstr>
      <vt:lpstr>Q_PH_diff_80</vt:lpstr>
      <vt:lpstr>Q_PH_diff_81</vt:lpstr>
      <vt:lpstr>Q_PH_diff_82</vt:lpstr>
      <vt:lpstr>Q_PH_diff_83</vt:lpstr>
      <vt:lpstr>Q_PH_diff_84</vt:lpstr>
      <vt:lpstr>Q_PH_diff_85</vt:lpstr>
      <vt:lpstr>Q_PH_diff_86</vt:lpstr>
      <vt:lpstr>Q_PH_diff_87</vt:lpstr>
      <vt:lpstr>Q_PH_diff_88</vt:lpstr>
      <vt:lpstr>Q_PH_diff_89</vt:lpstr>
      <vt:lpstr>Q_PH_diff_90</vt:lpstr>
      <vt:lpstr>Q_PH_diff_91</vt:lpstr>
      <vt:lpstr>Q_PH_diff_92</vt:lpstr>
      <vt:lpstr>Q_PH_diff_93</vt:lpstr>
      <vt:lpstr>Q_PH_diff_94</vt:lpstr>
      <vt:lpstr>Q_PH_diff_95</vt:lpstr>
      <vt:lpstr>Q_PH_diff_96</vt:lpstr>
      <vt:lpstr>Q_PH_diff_97</vt:lpstr>
      <vt:lpstr>Q_TP_COUNT_REFUSAL</vt:lpstr>
      <vt:lpstr>Q_TP_diff_1</vt:lpstr>
      <vt:lpstr>Q_TP_diff_66</vt:lpstr>
      <vt:lpstr>Q_TP_diff_67</vt:lpstr>
      <vt:lpstr>Q_TP_diff_68</vt:lpstr>
      <vt:lpstr>Q_TP_diff_69</vt:lpstr>
      <vt:lpstr>Q_TP_diff_70</vt:lpstr>
      <vt:lpstr>Q_TP_diff_71</vt:lpstr>
      <vt:lpstr>Q_TP_diff_72</vt:lpstr>
      <vt:lpstr>Q_TP_diff_73</vt:lpstr>
      <vt:lpstr>Q_TP_diff_74</vt:lpstr>
      <vt:lpstr>Q_TP_diff_75</vt:lpstr>
      <vt:lpstr>Q_TP_diff_76</vt:lpstr>
      <vt:lpstr>Q_TP_diff_77</vt:lpstr>
      <vt:lpstr>Q_TP_diff_78</vt:lpstr>
      <vt:lpstr>Q_TP_diff_79</vt:lpstr>
      <vt:lpstr>Q_TP_diff_80</vt:lpstr>
      <vt:lpstr>Q_TP_diff_81</vt:lpstr>
      <vt:lpstr>Q_TP_diff_82</vt:lpstr>
      <vt:lpstr>Q_TP_diff_83</vt:lpstr>
      <vt:lpstr>Q_TP_diff_84</vt:lpstr>
      <vt:lpstr>Q_TP_diff_85</vt:lpstr>
      <vt:lpstr>Q_TP_diff_86</vt:lpstr>
      <vt:lpstr>Q_TP_diff_87</vt:lpstr>
      <vt:lpstr>Q_TP_diff_88</vt:lpstr>
      <vt:lpstr>Q_TP_diff_89</vt:lpstr>
      <vt:lpstr>Q_TP_diff_90</vt:lpstr>
      <vt:lpstr>Q_TP_diff_91</vt:lpstr>
      <vt:lpstr>Q_TP_diff_92</vt:lpstr>
      <vt:lpstr>Q_TP_diff_93</vt:lpstr>
      <vt:lpstr>Q_TP_diff_94</vt:lpstr>
      <vt:lpstr>Q_TP_diff_95</vt:lpstr>
      <vt:lpstr>Q_TP_diff_96</vt:lpstr>
      <vt:lpstr>Q_TP_diff_97</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ter_56</vt:lpstr>
      <vt:lpstr>ter_57</vt:lpstr>
      <vt:lpstr>ter_58</vt:lpstr>
      <vt:lpstr>ter_59</vt:lpstr>
      <vt:lpstr>ter_60</vt:lpstr>
      <vt:lpstr>ter_61</vt:lpstr>
      <vt:lpstr>ter_62</vt:lpstr>
      <vt:lpstr>ter_63</vt:lpstr>
      <vt:lpstr>ter_64</vt:lpstr>
      <vt:lpstr>ter_65</vt:lpstr>
      <vt:lpstr>ter_67</vt:lpstr>
      <vt:lpstr>ter_68</vt:lpstr>
      <vt:lpstr>ter_69</vt:lpstr>
      <vt:lpstr>ter_70</vt:lpstr>
      <vt:lpstr>ter_71</vt:lpstr>
      <vt:lpstr>ter_72</vt:lpstr>
      <vt:lpstr>ter_73</vt:lpstr>
      <vt:lpstr>ter_74</vt:lpstr>
      <vt:lpstr>ter_75</vt:lpstr>
      <vt:lpstr>ter_76</vt:lpstr>
      <vt:lpstr>ter_77</vt:lpstr>
      <vt:lpstr>ter_78</vt:lpstr>
      <vt:lpstr>ter_79</vt:lpstr>
      <vt:lpstr>ter_80</vt:lpstr>
      <vt:lpstr>ter_81</vt:lpstr>
      <vt:lpstr>ter_82</vt:lpstr>
      <vt:lpstr>ter_83</vt:lpstr>
      <vt:lpstr>ter_84</vt:lpstr>
      <vt:lpstr>ter_85</vt:lpstr>
      <vt:lpstr>ter_86</vt:lpstr>
      <vt:lpstr>ter_87</vt:lpstr>
      <vt:lpstr>ter_88</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Юдаков Антон Александрович</cp:lastModifiedBy>
  <cp:lastPrinted>2013-08-29T08:11:20Z</cp:lastPrinted>
  <dcterms:created xsi:type="dcterms:W3CDTF">2004-05-21T07:18:45Z</dcterms:created>
  <dcterms:modified xsi:type="dcterms:W3CDTF">2024-04-25T00:13:54Z</dcterms:modified>
</cp:coreProperties>
</file>